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635" windowHeight="12780"/>
  </bookViews>
  <sheets>
    <sheet name="Data Sheet" sheetId="5" r:id="rId1"/>
    <sheet name="Calculation" sheetId="4" r:id="rId2"/>
    <sheet name="Process DS" sheetId="3" r:id="rId3"/>
    <sheet name="Process CL" sheetId="2" r:id="rId4"/>
    <sheet name="Process DB" sheetId="1" r:id="rId5"/>
  </sheets>
  <definedNames>
    <definedName name="AbsolutePress_Select">'Process DB'!$C$128:$C$129</definedName>
    <definedName name="Array_Component_Number">'Process DB'!$C$171:$C$188</definedName>
    <definedName name="Composition_View">'Process DB'!$C$89:$C$90</definedName>
    <definedName name="Feed_Others">'Process DB'!$C$57:$C$58</definedName>
    <definedName name="Feed_WaterVapor">'Process DB'!$C$49:$C$51</definedName>
    <definedName name="FeedFlow_Select">'Process DB'!$C$96:$C$100</definedName>
    <definedName name="FeedFlow_Stream">'Process DB'!$C$106:$C$111</definedName>
    <definedName name="Fluid_Contents">'Process DB'!$C$150:$C$165</definedName>
    <definedName name="Master_List_Column_Title_Gas_ID_Tag">'Process DB'!$D$170:$CA$170</definedName>
    <definedName name="Master_List_Fluid_Composition">'Process DB'!$D$171:$CA$188</definedName>
    <definedName name="Master_List_Fluid_Contents">'Process DB'!$C$150:$E$165</definedName>
    <definedName name="Product_MinMaxBalance">'Process DB'!$C$80:$C$83</definedName>
    <definedName name="Product_Others">'Process DB'!$C$77:$C$79</definedName>
    <definedName name="Product_WaterVapor">'Process DB'!$C$64:$C$71</definedName>
    <definedName name="RELIEF">'Data Sheet'!$I$23:$I$26</definedName>
    <definedName name="TEST">'Data Sheet'!$I$10:$I$13</definedName>
    <definedName name="YES_NO">'Process DB'!$C$142:$C$143</definedName>
  </definedNames>
  <calcPr calcId="125725"/>
</workbook>
</file>

<file path=xl/calcChain.xml><?xml version="1.0" encoding="utf-8"?>
<calcChain xmlns="http://schemas.openxmlformats.org/spreadsheetml/2006/main">
  <c r="D21" i="4"/>
  <c r="AC181" i="1"/>
  <c r="AC180"/>
  <c r="AC179"/>
  <c r="AC178"/>
  <c r="AC177"/>
  <c r="AC176"/>
  <c r="AC175"/>
  <c r="AC174"/>
  <c r="AC173"/>
  <c r="AC172"/>
  <c r="AC171"/>
  <c r="L30" l="1"/>
  <c r="AA172"/>
  <c r="AA177"/>
  <c r="AA179"/>
  <c r="AA178"/>
  <c r="AA176"/>
  <c r="AA175"/>
  <c r="AA174"/>
  <c r="AA173"/>
  <c r="AA171"/>
  <c r="I30"/>
  <c r="B13" i="5"/>
  <c r="D5" i="4" s="1"/>
  <c r="B9" i="5"/>
  <c r="F235" i="2"/>
  <c r="C228"/>
  <c r="F199"/>
  <c r="D193"/>
  <c r="L94"/>
  <c r="G94"/>
  <c r="L93"/>
  <c r="G93"/>
  <c r="L92"/>
  <c r="G92"/>
  <c r="L91"/>
  <c r="G91"/>
  <c r="L90"/>
  <c r="G90"/>
  <c r="L89"/>
  <c r="G89"/>
  <c r="L88"/>
  <c r="G88"/>
  <c r="L87"/>
  <c r="G87"/>
  <c r="L86"/>
  <c r="G86"/>
  <c r="L85"/>
  <c r="G85"/>
  <c r="L84"/>
  <c r="G84"/>
  <c r="L83"/>
  <c r="G83"/>
  <c r="L82"/>
  <c r="G82"/>
  <c r="L81"/>
  <c r="G81"/>
  <c r="L80"/>
  <c r="G80"/>
  <c r="L79"/>
  <c r="G79"/>
  <c r="G78"/>
  <c r="G74"/>
  <c r="G73"/>
  <c r="G66"/>
  <c r="G69" s="1"/>
  <c r="B36"/>
  <c r="FX7"/>
  <c r="FW7"/>
  <c r="FV7"/>
  <c r="GD4"/>
  <c r="GA4"/>
  <c r="FX4"/>
  <c r="GD3"/>
  <c r="I23" i="3"/>
  <c r="B54" i="2" s="1"/>
  <c r="D23" i="3"/>
  <c r="I22"/>
  <c r="B53" i="2" s="1"/>
  <c r="D22" i="3"/>
  <c r="I21"/>
  <c r="B52" i="2" s="1"/>
  <c r="D21" i="3"/>
  <c r="I20"/>
  <c r="B51" i="2" s="1"/>
  <c r="D20" i="3"/>
  <c r="I19"/>
  <c r="B50" i="2" s="1"/>
  <c r="D19" i="3"/>
  <c r="I18"/>
  <c r="B49" i="2" s="1"/>
  <c r="D18" i="3"/>
  <c r="I17"/>
  <c r="B48" i="2" s="1"/>
  <c r="D17" i="3"/>
  <c r="I16"/>
  <c r="B47" i="2" s="1"/>
  <c r="D16" i="3"/>
  <c r="I15"/>
  <c r="B46" i="2" s="1"/>
  <c r="D15" i="3"/>
  <c r="I14"/>
  <c r="B45" i="2" s="1"/>
  <c r="D14" i="3"/>
  <c r="AA14" s="1"/>
  <c r="I13"/>
  <c r="B44" i="2" s="1"/>
  <c r="D13" i="3"/>
  <c r="I12"/>
  <c r="B43" i="2" s="1"/>
  <c r="D12" i="3"/>
  <c r="AA12" s="1"/>
  <c r="I11"/>
  <c r="B42" i="2" s="1"/>
  <c r="D11" i="3"/>
  <c r="X12" i="2" s="1"/>
  <c r="I10" i="3"/>
  <c r="B41" i="2" s="1"/>
  <c r="D10" i="3"/>
  <c r="X11" i="2" s="1"/>
  <c r="I9" i="3"/>
  <c r="B40" i="2" s="1"/>
  <c r="D9" i="3"/>
  <c r="X10" i="2" s="1"/>
  <c r="I8" i="3"/>
  <c r="B39" i="2" s="1"/>
  <c r="D8" i="3"/>
  <c r="X9" i="2" s="1"/>
  <c r="I7" i="3"/>
  <c r="B38" i="2" s="1"/>
  <c r="B55" s="1"/>
  <c r="D7" i="3"/>
  <c r="X8" i="2" s="1"/>
  <c r="I6" i="3"/>
  <c r="B32" i="2" s="1"/>
  <c r="B56" s="1"/>
  <c r="D6" i="3"/>
  <c r="I4"/>
  <c r="G4"/>
  <c r="AG4" s="1"/>
  <c r="AH3" i="2" s="1"/>
  <c r="I3" i="3"/>
  <c r="G3"/>
  <c r="AF3" s="1"/>
  <c r="AG4" i="2" s="1"/>
  <c r="E229" s="1"/>
  <c r="F229" s="1"/>
  <c r="D16" i="4"/>
  <c r="D15"/>
  <c r="D24" s="1"/>
  <c r="D14"/>
  <c r="D4"/>
  <c r="D3"/>
  <c r="AE45" i="3"/>
  <c r="G38"/>
  <c r="G37"/>
  <c r="G36"/>
  <c r="AA29"/>
  <c r="T29"/>
  <c r="M29"/>
  <c r="AA28"/>
  <c r="T28"/>
  <c r="M28"/>
  <c r="AA24"/>
  <c r="W24"/>
  <c r="O24"/>
  <c r="K24"/>
  <c r="AA23"/>
  <c r="AA22"/>
  <c r="AA21"/>
  <c r="AA20"/>
  <c r="AA19"/>
  <c r="AA18"/>
  <c r="AA17"/>
  <c r="AA16"/>
  <c r="AA15"/>
  <c r="AA13"/>
  <c r="AA11"/>
  <c r="B2"/>
  <c r="B3" s="1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C264" i="2"/>
  <c r="D195"/>
  <c r="C188"/>
  <c r="I118"/>
  <c r="AC24" s="1"/>
  <c r="P93"/>
  <c r="I116"/>
  <c r="AC22" s="1"/>
  <c r="P91"/>
  <c r="I114"/>
  <c r="P89"/>
  <c r="I112"/>
  <c r="AC18" s="1"/>
  <c r="P87"/>
  <c r="I110"/>
  <c r="AC16" s="1"/>
  <c r="P85"/>
  <c r="O84"/>
  <c r="M84"/>
  <c r="I108"/>
  <c r="AC14" s="1"/>
  <c r="P83"/>
  <c r="M82"/>
  <c r="O82"/>
  <c r="O79"/>
  <c r="M79"/>
  <c r="I102"/>
  <c r="AC8" s="1"/>
  <c r="B72"/>
  <c r="B73" s="1"/>
  <c r="C71"/>
  <c r="B71"/>
  <c r="B81" s="1"/>
  <c r="B63"/>
  <c r="D63" s="1"/>
  <c r="C62"/>
  <c r="B62"/>
  <c r="D62" s="1"/>
  <c r="C61"/>
  <c r="AC20"/>
  <c r="DI7"/>
  <c r="DJ7" s="1"/>
  <c r="C7"/>
  <c r="C4"/>
  <c r="O182" i="1"/>
  <c r="O181"/>
  <c r="U180"/>
  <c r="O180"/>
  <c r="U179"/>
  <c r="O179"/>
  <c r="U178"/>
  <c r="O178"/>
  <c r="Y177"/>
  <c r="U177"/>
  <c r="O177"/>
  <c r="Y176"/>
  <c r="U176"/>
  <c r="S176"/>
  <c r="Q176"/>
  <c r="O176"/>
  <c r="M176"/>
  <c r="K176"/>
  <c r="I176"/>
  <c r="G176"/>
  <c r="E176"/>
  <c r="Y175"/>
  <c r="W175"/>
  <c r="U175"/>
  <c r="S175"/>
  <c r="Q175"/>
  <c r="O175"/>
  <c r="M175"/>
  <c r="K175"/>
  <c r="I175"/>
  <c r="G175"/>
  <c r="E175"/>
  <c r="Y174"/>
  <c r="W174"/>
  <c r="U174"/>
  <c r="S174"/>
  <c r="Q174"/>
  <c r="O174"/>
  <c r="M174"/>
  <c r="K174"/>
  <c r="I174"/>
  <c r="G174"/>
  <c r="E174"/>
  <c r="Y173"/>
  <c r="W173"/>
  <c r="U173"/>
  <c r="S173"/>
  <c r="Q173"/>
  <c r="O173"/>
  <c r="M173"/>
  <c r="K173"/>
  <c r="I173"/>
  <c r="G173"/>
  <c r="E173"/>
  <c r="Y172"/>
  <c r="W172"/>
  <c r="U172"/>
  <c r="S172"/>
  <c r="Q172"/>
  <c r="O172"/>
  <c r="M172"/>
  <c r="K172"/>
  <c r="I172"/>
  <c r="G172"/>
  <c r="E172"/>
  <c r="Y171"/>
  <c r="W171"/>
  <c r="U171"/>
  <c r="S171"/>
  <c r="Q171"/>
  <c r="O171"/>
  <c r="M171"/>
  <c r="K171"/>
  <c r="I171"/>
  <c r="G171"/>
  <c r="E171"/>
  <c r="F41"/>
  <c r="E41"/>
  <c r="F40"/>
  <c r="E40"/>
  <c r="E39"/>
  <c r="E38"/>
  <c r="E37"/>
  <c r="E36"/>
  <c r="E35"/>
  <c r="E34"/>
  <c r="E33"/>
  <c r="F32"/>
  <c r="E32"/>
  <c r="E31"/>
  <c r="E29"/>
  <c r="E28"/>
  <c r="E27"/>
  <c r="E26"/>
  <c r="E25"/>
  <c r="E24"/>
  <c r="E22"/>
  <c r="F21"/>
  <c r="E21"/>
  <c r="E20"/>
  <c r="E19"/>
  <c r="E18"/>
  <c r="E17"/>
  <c r="E16"/>
  <c r="E15"/>
  <c r="E14"/>
  <c r="E13"/>
  <c r="E12"/>
  <c r="E10"/>
  <c r="E9"/>
  <c r="E8"/>
  <c r="G67" i="2" l="1"/>
  <c r="AA10" i="3"/>
  <c r="D23" i="4"/>
  <c r="AA8" i="3"/>
  <c r="AA7"/>
  <c r="AA9"/>
  <c r="C8" i="2"/>
  <c r="E8"/>
  <c r="G8"/>
  <c r="I8"/>
  <c r="K8"/>
  <c r="M8"/>
  <c r="O8"/>
  <c r="Q8"/>
  <c r="S8"/>
  <c r="U8"/>
  <c r="W8"/>
  <c r="Y8"/>
  <c r="C9"/>
  <c r="E9"/>
  <c r="G9"/>
  <c r="I9"/>
  <c r="K9"/>
  <c r="M9"/>
  <c r="O9"/>
  <c r="Q9"/>
  <c r="S9"/>
  <c r="U9"/>
  <c r="W9"/>
  <c r="Y9"/>
  <c r="C10"/>
  <c r="E10"/>
  <c r="G10"/>
  <c r="I10"/>
  <c r="K10"/>
  <c r="M10"/>
  <c r="O10"/>
  <c r="Q10"/>
  <c r="S10"/>
  <c r="U10"/>
  <c r="W10"/>
  <c r="Y10"/>
  <c r="C11"/>
  <c r="E11"/>
  <c r="G11"/>
  <c r="I11"/>
  <c r="K11"/>
  <c r="M11"/>
  <c r="O11"/>
  <c r="Q11"/>
  <c r="S11"/>
  <c r="U11"/>
  <c r="W11"/>
  <c r="Y11"/>
  <c r="C12"/>
  <c r="E12"/>
  <c r="G12"/>
  <c r="I12"/>
  <c r="K12"/>
  <c r="M12"/>
  <c r="O12"/>
  <c r="Q12"/>
  <c r="S12"/>
  <c r="U12"/>
  <c r="W12"/>
  <c r="Y12"/>
  <c r="C13"/>
  <c r="E13"/>
  <c r="G13"/>
  <c r="I13"/>
  <c r="K13"/>
  <c r="M13"/>
  <c r="O13"/>
  <c r="Q13"/>
  <c r="S13"/>
  <c r="U13"/>
  <c r="W13"/>
  <c r="Y13"/>
  <c r="C14"/>
  <c r="E14"/>
  <c r="G14"/>
  <c r="I14"/>
  <c r="K14"/>
  <c r="M14"/>
  <c r="O14"/>
  <c r="Q14"/>
  <c r="S14"/>
  <c r="U14"/>
  <c r="W14"/>
  <c r="Y14"/>
  <c r="C15"/>
  <c r="E15"/>
  <c r="G15"/>
  <c r="I15"/>
  <c r="K15"/>
  <c r="M15"/>
  <c r="O15"/>
  <c r="Q15"/>
  <c r="S15"/>
  <c r="U15"/>
  <c r="W15"/>
  <c r="Y15"/>
  <c r="C16"/>
  <c r="E16"/>
  <c r="G16"/>
  <c r="I16"/>
  <c r="K16"/>
  <c r="M16"/>
  <c r="O16"/>
  <c r="Q16"/>
  <c r="S16"/>
  <c r="U16"/>
  <c r="W16"/>
  <c r="Y16"/>
  <c r="C17"/>
  <c r="E17"/>
  <c r="G17"/>
  <c r="I17"/>
  <c r="K17"/>
  <c r="M17"/>
  <c r="O17"/>
  <c r="Q17"/>
  <c r="S17"/>
  <c r="U17"/>
  <c r="W17"/>
  <c r="Y17"/>
  <c r="C18"/>
  <c r="E18"/>
  <c r="G18"/>
  <c r="I18"/>
  <c r="K18"/>
  <c r="M18"/>
  <c r="O18"/>
  <c r="Q18"/>
  <c r="S18"/>
  <c r="U18"/>
  <c r="W18"/>
  <c r="Y18"/>
  <c r="C19"/>
  <c r="E19"/>
  <c r="G19"/>
  <c r="I19"/>
  <c r="K19"/>
  <c r="M19"/>
  <c r="O19"/>
  <c r="Q19"/>
  <c r="S19"/>
  <c r="U19"/>
  <c r="W19"/>
  <c r="Y19"/>
  <c r="C20"/>
  <c r="E20"/>
  <c r="G20"/>
  <c r="I20"/>
  <c r="K20"/>
  <c r="M20"/>
  <c r="O20"/>
  <c r="Q20"/>
  <c r="S20"/>
  <c r="U20"/>
  <c r="W20"/>
  <c r="Y20"/>
  <c r="C21"/>
  <c r="E21"/>
  <c r="G21"/>
  <c r="I21"/>
  <c r="K21"/>
  <c r="M21"/>
  <c r="O21"/>
  <c r="Q21"/>
  <c r="S21"/>
  <c r="U21"/>
  <c r="W21"/>
  <c r="Y21"/>
  <c r="C22"/>
  <c r="E22"/>
  <c r="G22"/>
  <c r="I22"/>
  <c r="K22"/>
  <c r="M22"/>
  <c r="O22"/>
  <c r="Q22"/>
  <c r="S22"/>
  <c r="U22"/>
  <c r="W22"/>
  <c r="Y22"/>
  <c r="C23"/>
  <c r="E23"/>
  <c r="G23"/>
  <c r="I23"/>
  <c r="K23"/>
  <c r="M23"/>
  <c r="O23"/>
  <c r="Q23"/>
  <c r="S23"/>
  <c r="U23"/>
  <c r="W23"/>
  <c r="Y23"/>
  <c r="C24"/>
  <c r="E24"/>
  <c r="G24"/>
  <c r="I24"/>
  <c r="K24"/>
  <c r="M24"/>
  <c r="O24"/>
  <c r="Q24"/>
  <c r="S24"/>
  <c r="U24"/>
  <c r="W24"/>
  <c r="Y24"/>
  <c r="I24" i="3"/>
  <c r="B8" i="2"/>
  <c r="FX8" s="1"/>
  <c r="D8"/>
  <c r="F8"/>
  <c r="H8"/>
  <c r="J8"/>
  <c r="L8"/>
  <c r="N8"/>
  <c r="P8"/>
  <c r="R8"/>
  <c r="T8"/>
  <c r="V8"/>
  <c r="B9"/>
  <c r="FX9" s="1"/>
  <c r="D9"/>
  <c r="F9"/>
  <c r="H9"/>
  <c r="J9"/>
  <c r="L9"/>
  <c r="N9"/>
  <c r="P9"/>
  <c r="R9"/>
  <c r="T9"/>
  <c r="V9"/>
  <c r="B10"/>
  <c r="FX10" s="1"/>
  <c r="D10"/>
  <c r="F10"/>
  <c r="H10"/>
  <c r="J10"/>
  <c r="L10"/>
  <c r="N10"/>
  <c r="P10"/>
  <c r="R10"/>
  <c r="T10"/>
  <c r="V10"/>
  <c r="B11"/>
  <c r="FX11" s="1"/>
  <c r="D11"/>
  <c r="F11"/>
  <c r="H11"/>
  <c r="J11"/>
  <c r="L11"/>
  <c r="N11"/>
  <c r="P11"/>
  <c r="R11"/>
  <c r="T11"/>
  <c r="V11"/>
  <c r="B12"/>
  <c r="FX12" s="1"/>
  <c r="D12"/>
  <c r="F12"/>
  <c r="H12"/>
  <c r="J12"/>
  <c r="L12"/>
  <c r="N12"/>
  <c r="P12"/>
  <c r="R12"/>
  <c r="T12"/>
  <c r="V12"/>
  <c r="B13"/>
  <c r="FX13" s="1"/>
  <c r="D13"/>
  <c r="F13"/>
  <c r="H13"/>
  <c r="J13"/>
  <c r="L13"/>
  <c r="N13"/>
  <c r="P13"/>
  <c r="R13"/>
  <c r="T13"/>
  <c r="V13"/>
  <c r="X13"/>
  <c r="B14"/>
  <c r="FX14" s="1"/>
  <c r="D14"/>
  <c r="F14"/>
  <c r="H14"/>
  <c r="J14"/>
  <c r="L14"/>
  <c r="N14"/>
  <c r="P14"/>
  <c r="R14"/>
  <c r="T14"/>
  <c r="V14"/>
  <c r="X14"/>
  <c r="B15"/>
  <c r="FX15" s="1"/>
  <c r="D15"/>
  <c r="F15"/>
  <c r="H15"/>
  <c r="J15"/>
  <c r="L15"/>
  <c r="N15"/>
  <c r="P15"/>
  <c r="R15"/>
  <c r="T15"/>
  <c r="V15"/>
  <c r="X15"/>
  <c r="B16"/>
  <c r="FX16" s="1"/>
  <c r="D16"/>
  <c r="F16"/>
  <c r="H16"/>
  <c r="J16"/>
  <c r="L16"/>
  <c r="N16"/>
  <c r="P16"/>
  <c r="R16"/>
  <c r="T16"/>
  <c r="V16"/>
  <c r="X16"/>
  <c r="B17"/>
  <c r="FX17" s="1"/>
  <c r="D17"/>
  <c r="F17"/>
  <c r="H17"/>
  <c r="J17"/>
  <c r="L17"/>
  <c r="N17"/>
  <c r="P17"/>
  <c r="R17"/>
  <c r="T17"/>
  <c r="V17"/>
  <c r="X17"/>
  <c r="B18"/>
  <c r="FX18" s="1"/>
  <c r="D18"/>
  <c r="F18"/>
  <c r="H18"/>
  <c r="J18"/>
  <c r="L18"/>
  <c r="N18"/>
  <c r="P18"/>
  <c r="R18"/>
  <c r="T18"/>
  <c r="V18"/>
  <c r="X18"/>
  <c r="B19"/>
  <c r="CK8" s="1"/>
  <c r="D19"/>
  <c r="F19"/>
  <c r="H19"/>
  <c r="J19"/>
  <c r="L19"/>
  <c r="N19"/>
  <c r="P19"/>
  <c r="R19"/>
  <c r="T19"/>
  <c r="V19"/>
  <c r="X19"/>
  <c r="B20"/>
  <c r="FX20" s="1"/>
  <c r="D20"/>
  <c r="F20"/>
  <c r="H20"/>
  <c r="J20"/>
  <c r="L20"/>
  <c r="N20"/>
  <c r="P20"/>
  <c r="R20"/>
  <c r="T20"/>
  <c r="V20"/>
  <c r="X20"/>
  <c r="B21"/>
  <c r="FX21" s="1"/>
  <c r="D21"/>
  <c r="F21"/>
  <c r="H21"/>
  <c r="J21"/>
  <c r="L21"/>
  <c r="N21"/>
  <c r="P21"/>
  <c r="R21"/>
  <c r="T21"/>
  <c r="V21"/>
  <c r="X21"/>
  <c r="B22"/>
  <c r="FX22" s="1"/>
  <c r="D22"/>
  <c r="F22"/>
  <c r="H22"/>
  <c r="J22"/>
  <c r="L22"/>
  <c r="N22"/>
  <c r="P22"/>
  <c r="R22"/>
  <c r="T22"/>
  <c r="V22"/>
  <c r="X22"/>
  <c r="B23"/>
  <c r="FX23" s="1"/>
  <c r="D23"/>
  <c r="F23"/>
  <c r="H23"/>
  <c r="J23"/>
  <c r="L23"/>
  <c r="N23"/>
  <c r="P23"/>
  <c r="R23"/>
  <c r="T23"/>
  <c r="V23"/>
  <c r="X23"/>
  <c r="B24"/>
  <c r="FX24" s="1"/>
  <c r="D24"/>
  <c r="F24"/>
  <c r="H24"/>
  <c r="J24"/>
  <c r="L24"/>
  <c r="N24"/>
  <c r="P24"/>
  <c r="R24"/>
  <c r="T24"/>
  <c r="V24"/>
  <c r="X24"/>
  <c r="EY8"/>
  <c r="FW8"/>
  <c r="FW9"/>
  <c r="FW10"/>
  <c r="FW11"/>
  <c r="FW12"/>
  <c r="FW13"/>
  <c r="FW14"/>
  <c r="FW15"/>
  <c r="FW16"/>
  <c r="FW18"/>
  <c r="FW20"/>
  <c r="FW22"/>
  <c r="G68"/>
  <c r="D194"/>
  <c r="FA8"/>
  <c r="FV8"/>
  <c r="FV9"/>
  <c r="FV10"/>
  <c r="FV11"/>
  <c r="FV12"/>
  <c r="FV13"/>
  <c r="FV14"/>
  <c r="FV15"/>
  <c r="FV16"/>
  <c r="FV17"/>
  <c r="FV19"/>
  <c r="FV21"/>
  <c r="H37"/>
  <c r="M6" i="3" s="1"/>
  <c r="U7"/>
  <c r="U13"/>
  <c r="U15"/>
  <c r="U17"/>
  <c r="U19"/>
  <c r="U21"/>
  <c r="U23"/>
  <c r="AE3"/>
  <c r="AG3"/>
  <c r="AH4" i="2" s="1"/>
  <c r="AE4" i="3"/>
  <c r="O7"/>
  <c r="W7"/>
  <c r="K8"/>
  <c r="O8"/>
  <c r="W8"/>
  <c r="K9"/>
  <c r="O9"/>
  <c r="W9"/>
  <c r="K10"/>
  <c r="O10"/>
  <c r="W10"/>
  <c r="K11"/>
  <c r="O11"/>
  <c r="W11"/>
  <c r="K12"/>
  <c r="O12"/>
  <c r="W12"/>
  <c r="K13"/>
  <c r="O13"/>
  <c r="W13"/>
  <c r="K14"/>
  <c r="O14"/>
  <c r="W14"/>
  <c r="K15"/>
  <c r="O15"/>
  <c r="W15"/>
  <c r="K16"/>
  <c r="O16"/>
  <c r="W16"/>
  <c r="K17"/>
  <c r="O17"/>
  <c r="W17"/>
  <c r="K18"/>
  <c r="O18"/>
  <c r="W18"/>
  <c r="K19"/>
  <c r="O19"/>
  <c r="W19"/>
  <c r="K20"/>
  <c r="O20"/>
  <c r="W20"/>
  <c r="K21"/>
  <c r="O21"/>
  <c r="W21"/>
  <c r="K22"/>
  <c r="O22"/>
  <c r="W22"/>
  <c r="K23"/>
  <c r="O23"/>
  <c r="W23"/>
  <c r="AG14" i="2"/>
  <c r="FB14"/>
  <c r="EX14"/>
  <c r="CN14"/>
  <c r="CL14"/>
  <c r="FC14"/>
  <c r="EY14"/>
  <c r="CM14"/>
  <c r="CK14"/>
  <c r="BE7"/>
  <c r="D4"/>
  <c r="CL8"/>
  <c r="CN8"/>
  <c r="EX8"/>
  <c r="EZ8"/>
  <c r="DI13"/>
  <c r="DM13"/>
  <c r="DN13" s="1"/>
  <c r="DO13"/>
  <c r="DP13" s="1"/>
  <c r="D54"/>
  <c r="D52"/>
  <c r="D53"/>
  <c r="D51"/>
  <c r="D50"/>
  <c r="D49"/>
  <c r="DO14"/>
  <c r="DP14" s="1"/>
  <c r="DM14"/>
  <c r="DN14" s="1"/>
  <c r="DK14"/>
  <c r="DL14" s="1"/>
  <c r="DI14"/>
  <c r="DM7"/>
  <c r="DN7" s="1"/>
  <c r="DR7" s="1"/>
  <c r="AG16"/>
  <c r="CK16"/>
  <c r="CM16"/>
  <c r="DI16"/>
  <c r="DK16"/>
  <c r="DL16" s="1"/>
  <c r="DM16"/>
  <c r="DN16" s="1"/>
  <c r="DO16"/>
  <c r="DP16" s="1"/>
  <c r="EY16"/>
  <c r="FA16"/>
  <c r="FC16"/>
  <c r="AG18"/>
  <c r="CK18"/>
  <c r="CM18"/>
  <c r="DI18"/>
  <c r="DK18"/>
  <c r="DL18" s="1"/>
  <c r="DM18"/>
  <c r="DN18" s="1"/>
  <c r="DO18"/>
  <c r="DP18" s="1"/>
  <c r="EY18"/>
  <c r="FA18"/>
  <c r="FC18"/>
  <c r="FP46"/>
  <c r="EX46"/>
  <c r="EF46"/>
  <c r="DC44"/>
  <c r="CK44"/>
  <c r="BS44"/>
  <c r="DI15"/>
  <c r="DK15"/>
  <c r="DL15" s="1"/>
  <c r="DM15"/>
  <c r="DN15" s="1"/>
  <c r="DO15"/>
  <c r="DP15" s="1"/>
  <c r="CL16"/>
  <c r="CN16"/>
  <c r="EX16"/>
  <c r="EZ16"/>
  <c r="DI17"/>
  <c r="DK17"/>
  <c r="DL17" s="1"/>
  <c r="DM17"/>
  <c r="DN17" s="1"/>
  <c r="DO17"/>
  <c r="DP17" s="1"/>
  <c r="CL18"/>
  <c r="CN18"/>
  <c r="EX18"/>
  <c r="EZ18"/>
  <c r="DI19"/>
  <c r="DK19"/>
  <c r="DL19" s="1"/>
  <c r="DM19"/>
  <c r="DN19" s="1"/>
  <c r="DO19"/>
  <c r="DP19" s="1"/>
  <c r="DQ19"/>
  <c r="DS19"/>
  <c r="FQ46"/>
  <c r="EY46"/>
  <c r="EG46"/>
  <c r="DD44"/>
  <c r="CL44"/>
  <c r="BT44"/>
  <c r="FS46"/>
  <c r="FA46"/>
  <c r="EI46"/>
  <c r="DF44"/>
  <c r="CN44"/>
  <c r="BV44"/>
  <c r="FU46"/>
  <c r="FC46"/>
  <c r="EK46"/>
  <c r="DH44"/>
  <c r="CP44"/>
  <c r="BX44"/>
  <c r="E204"/>
  <c r="G102"/>
  <c r="AG20"/>
  <c r="BY20"/>
  <c r="CA20"/>
  <c r="CC20"/>
  <c r="CE20"/>
  <c r="CG20"/>
  <c r="CI20"/>
  <c r="CK20"/>
  <c r="CM20"/>
  <c r="CO20"/>
  <c r="DI20"/>
  <c r="DK20"/>
  <c r="DL20" s="1"/>
  <c r="DM20"/>
  <c r="DN20" s="1"/>
  <c r="DO20"/>
  <c r="DP20" s="1"/>
  <c r="DQ20"/>
  <c r="DS20"/>
  <c r="EM20"/>
  <c r="EO20"/>
  <c r="EQ20"/>
  <c r="ES20"/>
  <c r="EU20"/>
  <c r="EW20"/>
  <c r="EY20"/>
  <c r="FA20"/>
  <c r="FC20"/>
  <c r="DR21"/>
  <c r="AG22"/>
  <c r="BY22"/>
  <c r="CA22"/>
  <c r="CC22"/>
  <c r="CE22"/>
  <c r="CG22"/>
  <c r="CI22"/>
  <c r="CK22"/>
  <c r="CM22"/>
  <c r="CO22"/>
  <c r="DI22"/>
  <c r="DK22"/>
  <c r="DL22" s="1"/>
  <c r="DM22"/>
  <c r="DN22" s="1"/>
  <c r="DO22"/>
  <c r="DP22" s="1"/>
  <c r="DQ22"/>
  <c r="DS22"/>
  <c r="EM22"/>
  <c r="EO22"/>
  <c r="EQ22"/>
  <c r="ES22"/>
  <c r="EU22"/>
  <c r="EW22"/>
  <c r="EY22"/>
  <c r="FA22"/>
  <c r="FC22"/>
  <c r="DR23"/>
  <c r="AG24"/>
  <c r="BY24"/>
  <c r="CA24"/>
  <c r="CC24"/>
  <c r="CE24"/>
  <c r="CG24"/>
  <c r="CI24"/>
  <c r="CK24"/>
  <c r="CM24"/>
  <c r="CO24"/>
  <c r="DI24"/>
  <c r="DK24"/>
  <c r="DL24" s="1"/>
  <c r="DM24"/>
  <c r="DN24" s="1"/>
  <c r="DO24"/>
  <c r="DP24" s="1"/>
  <c r="DQ24"/>
  <c r="DS24"/>
  <c r="EM24"/>
  <c r="EO24"/>
  <c r="EQ24"/>
  <c r="ES24"/>
  <c r="EU24"/>
  <c r="EW24"/>
  <c r="EY24"/>
  <c r="FA24"/>
  <c r="FC24"/>
  <c r="FR46"/>
  <c r="EZ46"/>
  <c r="EH46"/>
  <c r="DE44"/>
  <c r="CM44"/>
  <c r="BU44"/>
  <c r="FT46"/>
  <c r="FB46"/>
  <c r="EJ46"/>
  <c r="DG44"/>
  <c r="CO44"/>
  <c r="BW44"/>
  <c r="B57"/>
  <c r="C49" s="1"/>
  <c r="E49" s="1"/>
  <c r="H49" s="1"/>
  <c r="M18" i="3" s="1"/>
  <c r="C81" i="2"/>
  <c r="B86"/>
  <c r="B82"/>
  <c r="B74"/>
  <c r="D73"/>
  <c r="C73"/>
  <c r="E210"/>
  <c r="G108"/>
  <c r="E212"/>
  <c r="G110"/>
  <c r="E214"/>
  <c r="G112"/>
  <c r="E216"/>
  <c r="G114"/>
  <c r="E218"/>
  <c r="G116"/>
  <c r="E220"/>
  <c r="G118"/>
  <c r="BZ20"/>
  <c r="CB20"/>
  <c r="CD20"/>
  <c r="CF20"/>
  <c r="CH20"/>
  <c r="CJ20"/>
  <c r="CL20"/>
  <c r="CN20"/>
  <c r="CP20"/>
  <c r="DR20"/>
  <c r="EL20"/>
  <c r="EN20"/>
  <c r="EP20"/>
  <c r="ER20"/>
  <c r="ET20"/>
  <c r="EV20"/>
  <c r="EX20"/>
  <c r="EZ20"/>
  <c r="DI21"/>
  <c r="DK21"/>
  <c r="DL21" s="1"/>
  <c r="DM21"/>
  <c r="DN21" s="1"/>
  <c r="DO21"/>
  <c r="DP21" s="1"/>
  <c r="DQ21"/>
  <c r="DS21"/>
  <c r="BZ22"/>
  <c r="CB22"/>
  <c r="CD22"/>
  <c r="CF22"/>
  <c r="CH22"/>
  <c r="CJ22"/>
  <c r="CL22"/>
  <c r="CN22"/>
  <c r="CP22"/>
  <c r="DR22"/>
  <c r="EL22"/>
  <c r="EN22"/>
  <c r="EP22"/>
  <c r="ER22"/>
  <c r="ET22"/>
  <c r="EV22"/>
  <c r="EX22"/>
  <c r="EZ22"/>
  <c r="DI23"/>
  <c r="DK23"/>
  <c r="DL23" s="1"/>
  <c r="DM23"/>
  <c r="DN23" s="1"/>
  <c r="DO23"/>
  <c r="DP23" s="1"/>
  <c r="DQ23"/>
  <c r="DS23"/>
  <c r="BZ24"/>
  <c r="CB24"/>
  <c r="CD24"/>
  <c r="CF24"/>
  <c r="CH24"/>
  <c r="CJ24"/>
  <c r="CL24"/>
  <c r="CN24"/>
  <c r="CP24"/>
  <c r="DR24"/>
  <c r="EL24"/>
  <c r="EN24"/>
  <c r="EP24"/>
  <c r="ER24"/>
  <c r="ET24"/>
  <c r="EV24"/>
  <c r="EX24"/>
  <c r="EZ24"/>
  <c r="C63"/>
  <c r="B64"/>
  <c r="C72"/>
  <c r="N79"/>
  <c r="P79"/>
  <c r="M80"/>
  <c r="O80"/>
  <c r="M81"/>
  <c r="O81"/>
  <c r="N82"/>
  <c r="M83"/>
  <c r="O83"/>
  <c r="N84"/>
  <c r="P84"/>
  <c r="M85"/>
  <c r="O85"/>
  <c r="M86"/>
  <c r="O86"/>
  <c r="M87"/>
  <c r="O87"/>
  <c r="M88"/>
  <c r="O88"/>
  <c r="M89"/>
  <c r="O89"/>
  <c r="M90"/>
  <c r="O90"/>
  <c r="M91"/>
  <c r="O91"/>
  <c r="M92"/>
  <c r="O92"/>
  <c r="M93"/>
  <c r="O93"/>
  <c r="M94"/>
  <c r="O94"/>
  <c r="I107"/>
  <c r="U12" i="3" s="1"/>
  <c r="I109" i="2"/>
  <c r="U14" i="3" s="1"/>
  <c r="I111" i="2"/>
  <c r="U16" i="3" s="1"/>
  <c r="I113" i="2"/>
  <c r="U18" i="3" s="1"/>
  <c r="I115" i="2"/>
  <c r="U20" i="3" s="1"/>
  <c r="I117" i="2"/>
  <c r="U22" i="3" s="1"/>
  <c r="D72" i="2"/>
  <c r="N80"/>
  <c r="N81"/>
  <c r="N83"/>
  <c r="N85"/>
  <c r="N86"/>
  <c r="P86"/>
  <c r="N87"/>
  <c r="N88"/>
  <c r="P88"/>
  <c r="N89"/>
  <c r="N90"/>
  <c r="P90"/>
  <c r="N91"/>
  <c r="N92"/>
  <c r="P92"/>
  <c r="N93"/>
  <c r="N94"/>
  <c r="P94"/>
  <c r="FV23" l="1"/>
  <c r="C46"/>
  <c r="C54"/>
  <c r="E54" s="1"/>
  <c r="H54" s="1"/>
  <c r="C220" s="1"/>
  <c r="C42"/>
  <c r="E42" s="1"/>
  <c r="H42" s="1"/>
  <c r="M11" i="3" s="1"/>
  <c r="FW24" i="2"/>
  <c r="M95"/>
  <c r="CO8"/>
  <c r="DO7"/>
  <c r="DP7" s="1"/>
  <c r="DS7" s="1"/>
  <c r="G229"/>
  <c r="H229" s="1"/>
  <c r="AF4" i="3"/>
  <c r="AF3" i="2"/>
  <c r="B29"/>
  <c r="B30" s="1"/>
  <c r="B31" s="1"/>
  <c r="AF4"/>
  <c r="DK13" s="1"/>
  <c r="DL13" s="1"/>
  <c r="C52"/>
  <c r="E52" s="1"/>
  <c r="H52" s="1"/>
  <c r="C44"/>
  <c r="C40"/>
  <c r="E40" s="1"/>
  <c r="H40" s="1"/>
  <c r="M9" i="3" s="1"/>
  <c r="CP18" i="2"/>
  <c r="CP16"/>
  <c r="CO18"/>
  <c r="CO16"/>
  <c r="CP8"/>
  <c r="BF7"/>
  <c r="CO14"/>
  <c r="FA14"/>
  <c r="CP14"/>
  <c r="EZ14"/>
  <c r="FV24"/>
  <c r="FV22"/>
  <c r="FV20"/>
  <c r="FV18"/>
  <c r="CM8"/>
  <c r="FW23"/>
  <c r="FW21"/>
  <c r="FW19"/>
  <c r="FW17"/>
  <c r="FC8"/>
  <c r="FX19"/>
  <c r="FX50" s="1"/>
  <c r="X30" i="3" s="1"/>
  <c r="DR19" i="2"/>
  <c r="FB24"/>
  <c r="FB18"/>
  <c r="FB16"/>
  <c r="FB8"/>
  <c r="FB20"/>
  <c r="FB22"/>
  <c r="O95"/>
  <c r="P80" s="1"/>
  <c r="C215"/>
  <c r="F49"/>
  <c r="AB19"/>
  <c r="E219"/>
  <c r="G117"/>
  <c r="AC23"/>
  <c r="E215"/>
  <c r="G113"/>
  <c r="AC19"/>
  <c r="E211"/>
  <c r="G109"/>
  <c r="AC15"/>
  <c r="C203"/>
  <c r="F37"/>
  <c r="AB7"/>
  <c r="E256"/>
  <c r="E254"/>
  <c r="E252"/>
  <c r="E250"/>
  <c r="E248"/>
  <c r="E246"/>
  <c r="B83"/>
  <c r="C82"/>
  <c r="D82"/>
  <c r="C53"/>
  <c r="E53" s="1"/>
  <c r="H53" s="1"/>
  <c r="M22" i="3" s="1"/>
  <c r="C51" i="2"/>
  <c r="E51" s="1"/>
  <c r="H51" s="1"/>
  <c r="M20" i="3" s="1"/>
  <c r="C50" i="2"/>
  <c r="E50" s="1"/>
  <c r="H50" s="1"/>
  <c r="M19" i="3" s="1"/>
  <c r="C48" i="2"/>
  <c r="C47"/>
  <c r="C45"/>
  <c r="C43"/>
  <c r="C41"/>
  <c r="E41" s="1"/>
  <c r="H41" s="1"/>
  <c r="M10" i="3" s="1"/>
  <c r="C39" i="2"/>
  <c r="E39" s="1"/>
  <c r="H39" s="1"/>
  <c r="M8" i="3" s="1"/>
  <c r="E240" i="2"/>
  <c r="AJ24"/>
  <c r="AJ22"/>
  <c r="AJ20"/>
  <c r="AJ18"/>
  <c r="AJ16"/>
  <c r="AJ14"/>
  <c r="AJ8"/>
  <c r="E4"/>
  <c r="N95"/>
  <c r="C38"/>
  <c r="D38" s="1"/>
  <c r="E217"/>
  <c r="G115"/>
  <c r="AC21"/>
  <c r="E213"/>
  <c r="G111"/>
  <c r="AC17"/>
  <c r="E209"/>
  <c r="G107"/>
  <c r="AC13"/>
  <c r="B65"/>
  <c r="C64"/>
  <c r="D64"/>
  <c r="B75"/>
  <c r="D74"/>
  <c r="C74"/>
  <c r="C86"/>
  <c r="B87"/>
  <c r="AG8"/>
  <c r="I103"/>
  <c r="U8" i="3" s="1"/>
  <c r="E48" i="2" l="1"/>
  <c r="H48" s="1"/>
  <c r="M17" i="3" s="1"/>
  <c r="D48" i="2"/>
  <c r="E47"/>
  <c r="H47" s="1"/>
  <c r="M16" i="3" s="1"/>
  <c r="D47" i="2"/>
  <c r="P82"/>
  <c r="E45"/>
  <c r="H45" s="1"/>
  <c r="M14" i="3" s="1"/>
  <c r="D45" i="2"/>
  <c r="E43"/>
  <c r="H43" s="1"/>
  <c r="M12" i="3" s="1"/>
  <c r="D43" i="2"/>
  <c r="E44"/>
  <c r="H44" s="1"/>
  <c r="D44"/>
  <c r="F54"/>
  <c r="M23" i="3"/>
  <c r="C218" i="2"/>
  <c r="M21" i="3"/>
  <c r="E46" i="2"/>
  <c r="H46" s="1"/>
  <c r="D46"/>
  <c r="AB16"/>
  <c r="AB24"/>
  <c r="D39"/>
  <c r="D42"/>
  <c r="F42"/>
  <c r="AB12"/>
  <c r="C208"/>
  <c r="D41"/>
  <c r="AB14"/>
  <c r="FW50"/>
  <c r="P30" i="3" s="1"/>
  <c r="FV50" i="2"/>
  <c r="I30" i="3" s="1"/>
  <c r="P81" i="2"/>
  <c r="P95" s="1"/>
  <c r="F40"/>
  <c r="F52"/>
  <c r="DK7"/>
  <c r="DL7" s="1"/>
  <c r="C229"/>
  <c r="D229" s="1"/>
  <c r="DQ7"/>
  <c r="BD7"/>
  <c r="D40"/>
  <c r="AB10"/>
  <c r="C206"/>
  <c r="AB22"/>
  <c r="B33"/>
  <c r="B34"/>
  <c r="P4" i="3"/>
  <c r="AG3" i="2"/>
  <c r="D65"/>
  <c r="B66"/>
  <c r="C65"/>
  <c r="FC17"/>
  <c r="FA17"/>
  <c r="EY17"/>
  <c r="CO17"/>
  <c r="CM17"/>
  <c r="CK17"/>
  <c r="AG17"/>
  <c r="FB17"/>
  <c r="EZ17"/>
  <c r="EX17"/>
  <c r="CP17"/>
  <c r="CN17"/>
  <c r="CL17"/>
  <c r="AJ17"/>
  <c r="E249"/>
  <c r="C55"/>
  <c r="E38"/>
  <c r="AQ24"/>
  <c r="AQ22"/>
  <c r="AQ20"/>
  <c r="AQ18"/>
  <c r="AQ16"/>
  <c r="AQ17"/>
  <c r="AQ14"/>
  <c r="AQ8"/>
  <c r="F4"/>
  <c r="C205"/>
  <c r="F39"/>
  <c r="AB9"/>
  <c r="C209"/>
  <c r="C213"/>
  <c r="F47"/>
  <c r="AB17"/>
  <c r="C216"/>
  <c r="F50"/>
  <c r="AB20"/>
  <c r="C219"/>
  <c r="F53"/>
  <c r="AB23"/>
  <c r="GE7"/>
  <c r="FY7"/>
  <c r="FY50" s="1"/>
  <c r="I31" i="3" s="1"/>
  <c r="EK7" i="2"/>
  <c r="EI7"/>
  <c r="EG7"/>
  <c r="BW7"/>
  <c r="BU7"/>
  <c r="BS7"/>
  <c r="BG7"/>
  <c r="AO7"/>
  <c r="GB7"/>
  <c r="EJ7"/>
  <c r="EH7"/>
  <c r="EF7"/>
  <c r="DT7"/>
  <c r="BX7"/>
  <c r="BV7"/>
  <c r="BT7"/>
  <c r="AL7"/>
  <c r="AF7"/>
  <c r="BA7"/>
  <c r="AU7"/>
  <c r="AI7"/>
  <c r="FC15"/>
  <c r="FA15"/>
  <c r="EY15"/>
  <c r="CO15"/>
  <c r="CM15"/>
  <c r="CK15"/>
  <c r="AQ15"/>
  <c r="AG15"/>
  <c r="FB15"/>
  <c r="EZ15"/>
  <c r="EX15"/>
  <c r="CP15"/>
  <c r="CN15"/>
  <c r="CL15"/>
  <c r="AJ15"/>
  <c r="E247"/>
  <c r="FC23"/>
  <c r="FA23"/>
  <c r="EY23"/>
  <c r="EW23"/>
  <c r="EU23"/>
  <c r="ES23"/>
  <c r="EQ23"/>
  <c r="EO23"/>
  <c r="EM23"/>
  <c r="CO23"/>
  <c r="CM23"/>
  <c r="CK23"/>
  <c r="CI23"/>
  <c r="CG23"/>
  <c r="CE23"/>
  <c r="CC23"/>
  <c r="CA23"/>
  <c r="BY23"/>
  <c r="AQ23"/>
  <c r="AG23"/>
  <c r="FB23"/>
  <c r="EZ23"/>
  <c r="EX23"/>
  <c r="EV23"/>
  <c r="ET23"/>
  <c r="ER23"/>
  <c r="EP23"/>
  <c r="EN23"/>
  <c r="EL23"/>
  <c r="CP23"/>
  <c r="CN23"/>
  <c r="CL23"/>
  <c r="CJ23"/>
  <c r="CH23"/>
  <c r="CF23"/>
  <c r="CD23"/>
  <c r="CB23"/>
  <c r="BZ23"/>
  <c r="AJ23"/>
  <c r="E255"/>
  <c r="EK12"/>
  <c r="EI12"/>
  <c r="EG12"/>
  <c r="BW12"/>
  <c r="BU12"/>
  <c r="BS12"/>
  <c r="AO12"/>
  <c r="AI12"/>
  <c r="EJ12"/>
  <c r="EH12"/>
  <c r="EF12"/>
  <c r="BX12"/>
  <c r="BV12"/>
  <c r="BT12"/>
  <c r="AF12"/>
  <c r="C244"/>
  <c r="EJ24"/>
  <c r="EH24"/>
  <c r="EF24"/>
  <c r="ED24"/>
  <c r="EB24"/>
  <c r="DZ24"/>
  <c r="DX24"/>
  <c r="DV24"/>
  <c r="DT24"/>
  <c r="BX24"/>
  <c r="BV24"/>
  <c r="BT24"/>
  <c r="BR24"/>
  <c r="BP24"/>
  <c r="BN24"/>
  <c r="BL24"/>
  <c r="BJ24"/>
  <c r="BH24"/>
  <c r="AF24"/>
  <c r="EK24"/>
  <c r="EI24"/>
  <c r="EG24"/>
  <c r="EE24"/>
  <c r="EC24"/>
  <c r="EA24"/>
  <c r="DY24"/>
  <c r="DW24"/>
  <c r="DU24"/>
  <c r="BW24"/>
  <c r="BU24"/>
  <c r="BS24"/>
  <c r="BQ24"/>
  <c r="BO24"/>
  <c r="BM24"/>
  <c r="BK24"/>
  <c r="BI24"/>
  <c r="BG24"/>
  <c r="AO24"/>
  <c r="AI24"/>
  <c r="C256"/>
  <c r="EK10"/>
  <c r="EI10"/>
  <c r="EG10"/>
  <c r="BW10"/>
  <c r="BU10"/>
  <c r="BS10"/>
  <c r="AO10"/>
  <c r="AI10"/>
  <c r="EJ10"/>
  <c r="EH10"/>
  <c r="EF10"/>
  <c r="BX10"/>
  <c r="BV10"/>
  <c r="BT10"/>
  <c r="AF10"/>
  <c r="C242"/>
  <c r="EJ22"/>
  <c r="EH22"/>
  <c r="EF22"/>
  <c r="ED22"/>
  <c r="EB22"/>
  <c r="DZ22"/>
  <c r="DX22"/>
  <c r="DV22"/>
  <c r="DT22"/>
  <c r="BX22"/>
  <c r="BV22"/>
  <c r="BT22"/>
  <c r="BR22"/>
  <c r="BP22"/>
  <c r="BN22"/>
  <c r="BL22"/>
  <c r="BJ22"/>
  <c r="BH22"/>
  <c r="AF22"/>
  <c r="EK22"/>
  <c r="EI22"/>
  <c r="EG22"/>
  <c r="EE22"/>
  <c r="EC22"/>
  <c r="EA22"/>
  <c r="DY22"/>
  <c r="DW22"/>
  <c r="DU22"/>
  <c r="BW22"/>
  <c r="BU22"/>
  <c r="BS22"/>
  <c r="BQ22"/>
  <c r="BO22"/>
  <c r="BM22"/>
  <c r="BK22"/>
  <c r="BI22"/>
  <c r="BG22"/>
  <c r="AO22"/>
  <c r="AI22"/>
  <c r="C254"/>
  <c r="D55"/>
  <c r="E205"/>
  <c r="G103"/>
  <c r="AC9"/>
  <c r="C87"/>
  <c r="B88"/>
  <c r="B76"/>
  <c r="D75"/>
  <c r="C75"/>
  <c r="FB13"/>
  <c r="EZ13"/>
  <c r="EX13"/>
  <c r="CP13"/>
  <c r="CN13"/>
  <c r="CL13"/>
  <c r="AJ13"/>
  <c r="FC13"/>
  <c r="FA13"/>
  <c r="EY13"/>
  <c r="CO13"/>
  <c r="CM13"/>
  <c r="CK13"/>
  <c r="AQ13"/>
  <c r="AG13"/>
  <c r="E245"/>
  <c r="FC21"/>
  <c r="FA21"/>
  <c r="EY21"/>
  <c r="EW21"/>
  <c r="EU21"/>
  <c r="ES21"/>
  <c r="EQ21"/>
  <c r="EO21"/>
  <c r="EM21"/>
  <c r="CO21"/>
  <c r="CM21"/>
  <c r="CK21"/>
  <c r="CI21"/>
  <c r="CG21"/>
  <c r="CE21"/>
  <c r="CC21"/>
  <c r="CA21"/>
  <c r="BY21"/>
  <c r="AQ21"/>
  <c r="AG21"/>
  <c r="FB21"/>
  <c r="EZ21"/>
  <c r="EX21"/>
  <c r="EV21"/>
  <c r="ET21"/>
  <c r="ER21"/>
  <c r="EP21"/>
  <c r="EN21"/>
  <c r="EL21"/>
  <c r="CP21"/>
  <c r="CN21"/>
  <c r="CL21"/>
  <c r="CJ21"/>
  <c r="CH21"/>
  <c r="CF21"/>
  <c r="CD21"/>
  <c r="CB21"/>
  <c r="BZ21"/>
  <c r="AJ21"/>
  <c r="E253"/>
  <c r="C207"/>
  <c r="F41"/>
  <c r="AB11"/>
  <c r="C211"/>
  <c r="F45"/>
  <c r="AB15"/>
  <c r="C214"/>
  <c r="F48"/>
  <c r="AB18"/>
  <c r="C217"/>
  <c r="F51"/>
  <c r="AB21"/>
  <c r="D83"/>
  <c r="B84"/>
  <c r="C83"/>
  <c r="C239"/>
  <c r="FC19"/>
  <c r="FA19"/>
  <c r="EY19"/>
  <c r="EW19"/>
  <c r="EU19"/>
  <c r="ES19"/>
  <c r="EQ19"/>
  <c r="EO19"/>
  <c r="EM19"/>
  <c r="CO19"/>
  <c r="CM19"/>
  <c r="CK19"/>
  <c r="CI19"/>
  <c r="CG19"/>
  <c r="CE19"/>
  <c r="CC19"/>
  <c r="CA19"/>
  <c r="BY19"/>
  <c r="AQ19"/>
  <c r="AG19"/>
  <c r="FB19"/>
  <c r="EZ19"/>
  <c r="EX19"/>
  <c r="EV19"/>
  <c r="ET19"/>
  <c r="ER19"/>
  <c r="EP19"/>
  <c r="EN19"/>
  <c r="EL19"/>
  <c r="CP19"/>
  <c r="CN19"/>
  <c r="CL19"/>
  <c r="CJ19"/>
  <c r="CH19"/>
  <c r="CF19"/>
  <c r="CD19"/>
  <c r="CB19"/>
  <c r="BZ19"/>
  <c r="AJ19"/>
  <c r="E251"/>
  <c r="EK19"/>
  <c r="EI19"/>
  <c r="EG19"/>
  <c r="EE19"/>
  <c r="EC19"/>
  <c r="EA19"/>
  <c r="DY19"/>
  <c r="DW19"/>
  <c r="DU19"/>
  <c r="BW19"/>
  <c r="BU19"/>
  <c r="BS19"/>
  <c r="BQ19"/>
  <c r="BO19"/>
  <c r="BM19"/>
  <c r="BK19"/>
  <c r="BI19"/>
  <c r="BG19"/>
  <c r="AO19"/>
  <c r="AI19"/>
  <c r="EJ19"/>
  <c r="EH19"/>
  <c r="EF19"/>
  <c r="ED19"/>
  <c r="EB19"/>
  <c r="DZ19"/>
  <c r="DX19"/>
  <c r="DV19"/>
  <c r="DT19"/>
  <c r="BX19"/>
  <c r="BV19"/>
  <c r="BT19"/>
  <c r="BR19"/>
  <c r="BP19"/>
  <c r="BN19"/>
  <c r="BL19"/>
  <c r="BJ19"/>
  <c r="BH19"/>
  <c r="AF19"/>
  <c r="C251"/>
  <c r="EJ16"/>
  <c r="EH16"/>
  <c r="EF16"/>
  <c r="BX16"/>
  <c r="BV16"/>
  <c r="BT16"/>
  <c r="AF16"/>
  <c r="EK16"/>
  <c r="EI16"/>
  <c r="EG16"/>
  <c r="BW16"/>
  <c r="BU16"/>
  <c r="BS16"/>
  <c r="AO16"/>
  <c r="AI16"/>
  <c r="EJ14"/>
  <c r="EH14"/>
  <c r="EF14"/>
  <c r="BX14"/>
  <c r="BV14"/>
  <c r="BT14"/>
  <c r="EK14"/>
  <c r="EI14"/>
  <c r="EG14"/>
  <c r="BW14"/>
  <c r="BU14"/>
  <c r="BS14"/>
  <c r="AO14"/>
  <c r="AI14"/>
  <c r="AF14"/>
  <c r="AB13" l="1"/>
  <c r="F43"/>
  <c r="F46"/>
  <c r="M15" i="3"/>
  <c r="C212" i="2"/>
  <c r="C248" s="1"/>
  <c r="F44"/>
  <c r="M13" i="3"/>
  <c r="C210" i="2"/>
  <c r="C246" s="1"/>
  <c r="GB24"/>
  <c r="GB23"/>
  <c r="GB22"/>
  <c r="GB21"/>
  <c r="GB20"/>
  <c r="GB19"/>
  <c r="GB18"/>
  <c r="GB17"/>
  <c r="GB16"/>
  <c r="GB15"/>
  <c r="GB14"/>
  <c r="GB13"/>
  <c r="GB12"/>
  <c r="GB11"/>
  <c r="GB10"/>
  <c r="GB9"/>
  <c r="GB8"/>
  <c r="EJ18"/>
  <c r="EH18"/>
  <c r="EF18"/>
  <c r="BX18"/>
  <c r="BV18"/>
  <c r="BT18"/>
  <c r="AF18"/>
  <c r="EK18"/>
  <c r="EI18"/>
  <c r="EG18"/>
  <c r="BW18"/>
  <c r="BU18"/>
  <c r="BS18"/>
  <c r="AO18"/>
  <c r="AI18"/>
  <c r="C250"/>
  <c r="EJ11"/>
  <c r="EH11"/>
  <c r="EF11"/>
  <c r="BX11"/>
  <c r="BV11"/>
  <c r="BT11"/>
  <c r="AF11"/>
  <c r="EK11"/>
  <c r="EI11"/>
  <c r="EG11"/>
  <c r="BW11"/>
  <c r="BU11"/>
  <c r="BS11"/>
  <c r="AO11"/>
  <c r="AI11"/>
  <c r="C243"/>
  <c r="C88"/>
  <c r="B89"/>
  <c r="FB9"/>
  <c r="EZ9"/>
  <c r="EX9"/>
  <c r="CP9"/>
  <c r="CN9"/>
  <c r="CL9"/>
  <c r="AJ9"/>
  <c r="FC9"/>
  <c r="FA9"/>
  <c r="EY9"/>
  <c r="CO9"/>
  <c r="CM9"/>
  <c r="CK9"/>
  <c r="AQ9"/>
  <c r="AG9"/>
  <c r="E241"/>
  <c r="EK23"/>
  <c r="EI23"/>
  <c r="EG23"/>
  <c r="EE23"/>
  <c r="EC23"/>
  <c r="EA23"/>
  <c r="DY23"/>
  <c r="DW23"/>
  <c r="DU23"/>
  <c r="BW23"/>
  <c r="BU23"/>
  <c r="BS23"/>
  <c r="BQ23"/>
  <c r="BO23"/>
  <c r="BM23"/>
  <c r="BK23"/>
  <c r="BI23"/>
  <c r="BG23"/>
  <c r="AO23"/>
  <c r="AI23"/>
  <c r="EJ23"/>
  <c r="EH23"/>
  <c r="EF23"/>
  <c r="ED23"/>
  <c r="EB23"/>
  <c r="DZ23"/>
  <c r="DX23"/>
  <c r="DV23"/>
  <c r="DT23"/>
  <c r="BX23"/>
  <c r="BV23"/>
  <c r="BT23"/>
  <c r="BR23"/>
  <c r="BP23"/>
  <c r="BN23"/>
  <c r="BL23"/>
  <c r="BJ23"/>
  <c r="BH23"/>
  <c r="AF23"/>
  <c r="C255"/>
  <c r="EK17"/>
  <c r="EI17"/>
  <c r="EG17"/>
  <c r="BW17"/>
  <c r="BU17"/>
  <c r="BS17"/>
  <c r="AO17"/>
  <c r="AI17"/>
  <c r="EJ17"/>
  <c r="EH17"/>
  <c r="EF17"/>
  <c r="BX17"/>
  <c r="BV17"/>
  <c r="BT17"/>
  <c r="AF17"/>
  <c r="C249"/>
  <c r="EJ9"/>
  <c r="EH9"/>
  <c r="EF9"/>
  <c r="BX9"/>
  <c r="BV9"/>
  <c r="BT9"/>
  <c r="AF9"/>
  <c r="EK9"/>
  <c r="EI9"/>
  <c r="EG9"/>
  <c r="BW9"/>
  <c r="BU9"/>
  <c r="BS9"/>
  <c r="AO9"/>
  <c r="AI9"/>
  <c r="C241"/>
  <c r="B85"/>
  <c r="C84"/>
  <c r="D84"/>
  <c r="EK21"/>
  <c r="EI21"/>
  <c r="EG21"/>
  <c r="EE21"/>
  <c r="EC21"/>
  <c r="EA21"/>
  <c r="DY21"/>
  <c r="DW21"/>
  <c r="DU21"/>
  <c r="BW21"/>
  <c r="BU21"/>
  <c r="BS21"/>
  <c r="BQ21"/>
  <c r="BO21"/>
  <c r="BM21"/>
  <c r="BK21"/>
  <c r="BI21"/>
  <c r="BG21"/>
  <c r="AO21"/>
  <c r="AI21"/>
  <c r="EJ21"/>
  <c r="EH21"/>
  <c r="EF21"/>
  <c r="ED21"/>
  <c r="EB21"/>
  <c r="DZ21"/>
  <c r="DX21"/>
  <c r="DV21"/>
  <c r="DT21"/>
  <c r="BX21"/>
  <c r="BV21"/>
  <c r="BT21"/>
  <c r="BR21"/>
  <c r="BP21"/>
  <c r="BN21"/>
  <c r="BL21"/>
  <c r="BJ21"/>
  <c r="BH21"/>
  <c r="AF21"/>
  <c r="C253"/>
  <c r="EK15"/>
  <c r="EI15"/>
  <c r="EG15"/>
  <c r="BW15"/>
  <c r="BU15"/>
  <c r="BS15"/>
  <c r="AO15"/>
  <c r="AI15"/>
  <c r="EJ15"/>
  <c r="EH15"/>
  <c r="EF15"/>
  <c r="BX15"/>
  <c r="BV15"/>
  <c r="BT15"/>
  <c r="AF15"/>
  <c r="C247"/>
  <c r="D76"/>
  <c r="B77"/>
  <c r="C76"/>
  <c r="EJ20"/>
  <c r="EH20"/>
  <c r="EF20"/>
  <c r="ED20"/>
  <c r="EB20"/>
  <c r="DZ20"/>
  <c r="DX20"/>
  <c r="DV20"/>
  <c r="DT20"/>
  <c r="BX20"/>
  <c r="BV20"/>
  <c r="BT20"/>
  <c r="BR20"/>
  <c r="BP20"/>
  <c r="BN20"/>
  <c r="BL20"/>
  <c r="BJ20"/>
  <c r="BH20"/>
  <c r="AF20"/>
  <c r="EK20"/>
  <c r="EI20"/>
  <c r="EG20"/>
  <c r="EE20"/>
  <c r="EC20"/>
  <c r="EA20"/>
  <c r="DY20"/>
  <c r="DW20"/>
  <c r="DU20"/>
  <c r="BW20"/>
  <c r="BU20"/>
  <c r="BS20"/>
  <c r="BQ20"/>
  <c r="BO20"/>
  <c r="BM20"/>
  <c r="BK20"/>
  <c r="BI20"/>
  <c r="BG20"/>
  <c r="AO20"/>
  <c r="AI20"/>
  <c r="C252"/>
  <c r="EJ13"/>
  <c r="EH13"/>
  <c r="EF13"/>
  <c r="BX13"/>
  <c r="BV13"/>
  <c r="BT13"/>
  <c r="AF13"/>
  <c r="EK13"/>
  <c r="EI13"/>
  <c r="EG13"/>
  <c r="BW13"/>
  <c r="BU13"/>
  <c r="BS13"/>
  <c r="AO13"/>
  <c r="AI13"/>
  <c r="C245"/>
  <c r="AW23"/>
  <c r="AW21"/>
  <c r="AW20"/>
  <c r="AW17"/>
  <c r="AW15"/>
  <c r="AW18"/>
  <c r="AU12"/>
  <c r="AU10"/>
  <c r="AW8"/>
  <c r="AW13"/>
  <c r="AU11"/>
  <c r="AW9"/>
  <c r="G4"/>
  <c r="E55"/>
  <c r="H38"/>
  <c r="M7" i="3" s="1"/>
  <c r="C66" i="2"/>
  <c r="B67"/>
  <c r="D66"/>
  <c r="AW14" l="1"/>
  <c r="AU14"/>
  <c r="AW24"/>
  <c r="AU24"/>
  <c r="AU20"/>
  <c r="GB50"/>
  <c r="I32" i="3" s="1"/>
  <c r="AU15" i="2"/>
  <c r="AU23"/>
  <c r="AU18"/>
  <c r="C67"/>
  <c r="B68"/>
  <c r="D67"/>
  <c r="C204"/>
  <c r="F38"/>
  <c r="AB8"/>
  <c r="H55"/>
  <c r="M24" i="3" s="1"/>
  <c r="H4" i="2"/>
  <c r="AW16"/>
  <c r="AU16"/>
  <c r="AW19"/>
  <c r="AU19"/>
  <c r="AW22"/>
  <c r="AU22"/>
  <c r="C77"/>
  <c r="B78"/>
  <c r="D77"/>
  <c r="D85"/>
  <c r="C85"/>
  <c r="C89"/>
  <c r="B90"/>
  <c r="AU13"/>
  <c r="AU21"/>
  <c r="AU9"/>
  <c r="AU17"/>
  <c r="C90" l="1"/>
  <c r="B91"/>
  <c r="DM8"/>
  <c r="DN8" s="1"/>
  <c r="DK8"/>
  <c r="DL8" s="1"/>
  <c r="DO8"/>
  <c r="DP8" s="1"/>
  <c r="DM12"/>
  <c r="DN12" s="1"/>
  <c r="DK12"/>
  <c r="DL12" s="1"/>
  <c r="DO12"/>
  <c r="DP12" s="1"/>
  <c r="DM9"/>
  <c r="DN9" s="1"/>
  <c r="DK9"/>
  <c r="DL9" s="1"/>
  <c r="DO9"/>
  <c r="DP9" s="1"/>
  <c r="EK8"/>
  <c r="EI8"/>
  <c r="EG8"/>
  <c r="BW8"/>
  <c r="BU8"/>
  <c r="BS8"/>
  <c r="AU8"/>
  <c r="AU25" s="1"/>
  <c r="J29" i="3" s="1"/>
  <c r="AO8" i="2"/>
  <c r="AO25" s="1"/>
  <c r="J28" i="3" s="1"/>
  <c r="AI8" i="2"/>
  <c r="AI25" s="1"/>
  <c r="EJ8"/>
  <c r="EH8"/>
  <c r="EF8"/>
  <c r="BX8"/>
  <c r="BV8"/>
  <c r="BT8"/>
  <c r="AF8"/>
  <c r="AF25" s="1"/>
  <c r="J33" i="3" s="1"/>
  <c r="C240" i="2"/>
  <c r="C68"/>
  <c r="B69"/>
  <c r="D68"/>
  <c r="C78"/>
  <c r="B79"/>
  <c r="D78"/>
  <c r="I4"/>
  <c r="DK10"/>
  <c r="DL10" s="1"/>
  <c r="DO10"/>
  <c r="DP10" s="1"/>
  <c r="DM10"/>
  <c r="DN10" s="1"/>
  <c r="DM11"/>
  <c r="DN11" s="1"/>
  <c r="DK11"/>
  <c r="DL11" s="1"/>
  <c r="DO11"/>
  <c r="DP11" s="1"/>
  <c r="F55"/>
  <c r="I38" s="1"/>
  <c r="D17" i="4" l="1"/>
  <c r="D7"/>
  <c r="AV8" i="2"/>
  <c r="AP8"/>
  <c r="J4"/>
  <c r="B80"/>
  <c r="C79"/>
  <c r="D79"/>
  <c r="AI29"/>
  <c r="I46"/>
  <c r="I44"/>
  <c r="I42"/>
  <c r="I40"/>
  <c r="I49"/>
  <c r="I37"/>
  <c r="I54"/>
  <c r="I52"/>
  <c r="I51"/>
  <c r="I43"/>
  <c r="I48"/>
  <c r="I47"/>
  <c r="I45"/>
  <c r="I50"/>
  <c r="I41"/>
  <c r="I53"/>
  <c r="I39"/>
  <c r="C69"/>
  <c r="B70"/>
  <c r="D69"/>
  <c r="C221"/>
  <c r="D197" s="1"/>
  <c r="C257"/>
  <c r="AF26"/>
  <c r="AF27"/>
  <c r="C91"/>
  <c r="B92"/>
  <c r="AI32" l="1"/>
  <c r="J34" i="3"/>
  <c r="AF28" i="2"/>
  <c r="J39" i="3"/>
  <c r="D18" i="4" s="1"/>
  <c r="AI34" i="2"/>
  <c r="J37" i="3" s="1"/>
  <c r="AI33" i="2"/>
  <c r="D237"/>
  <c r="D201"/>
  <c r="AV9"/>
  <c r="AP9"/>
  <c r="AV15"/>
  <c r="AP15"/>
  <c r="AV21"/>
  <c r="AP21"/>
  <c r="AV19"/>
  <c r="AP19"/>
  <c r="AV12"/>
  <c r="AP12"/>
  <c r="AI31"/>
  <c r="J35" i="3" s="1"/>
  <c r="AI30" i="2"/>
  <c r="C92"/>
  <c r="B93"/>
  <c r="AV23"/>
  <c r="AP23"/>
  <c r="AV20"/>
  <c r="AP20"/>
  <c r="AV17"/>
  <c r="AP17"/>
  <c r="AV13"/>
  <c r="AP13"/>
  <c r="AV22"/>
  <c r="AP22"/>
  <c r="I55"/>
  <c r="AV7"/>
  <c r="AP7"/>
  <c r="AV10"/>
  <c r="AP10"/>
  <c r="AV14"/>
  <c r="AP14"/>
  <c r="D80"/>
  <c r="C80"/>
  <c r="C70"/>
  <c r="D70"/>
  <c r="AV11"/>
  <c r="AP11"/>
  <c r="AV18"/>
  <c r="AP18"/>
  <c r="AV24"/>
  <c r="AP24"/>
  <c r="AV16"/>
  <c r="AP16"/>
  <c r="K4"/>
  <c r="L4" l="1"/>
  <c r="D262"/>
  <c r="D260"/>
  <c r="D258"/>
  <c r="D261"/>
  <c r="D263" s="1"/>
  <c r="D259"/>
  <c r="D264" s="1"/>
  <c r="AV25"/>
  <c r="C93"/>
  <c r="B94"/>
  <c r="D226"/>
  <c r="D224"/>
  <c r="D222"/>
  <c r="D225"/>
  <c r="D223"/>
  <c r="D228" s="1"/>
  <c r="J26" i="3" s="1"/>
  <c r="D220" i="2"/>
  <c r="D218"/>
  <c r="D212"/>
  <c r="D208"/>
  <c r="D206"/>
  <c r="D203"/>
  <c r="D215"/>
  <c r="D210"/>
  <c r="D207"/>
  <c r="D219"/>
  <c r="D205"/>
  <c r="D211"/>
  <c r="D209"/>
  <c r="D214"/>
  <c r="D213"/>
  <c r="D217"/>
  <c r="D216"/>
  <c r="D204"/>
  <c r="AP25"/>
  <c r="D252" l="1"/>
  <c r="D249"/>
  <c r="D241"/>
  <c r="D243"/>
  <c r="D242"/>
  <c r="D248"/>
  <c r="D227"/>
  <c r="D230"/>
  <c r="D231" s="1"/>
  <c r="C94"/>
  <c r="B95"/>
  <c r="D240"/>
  <c r="F201"/>
  <c r="D253"/>
  <c r="D250"/>
  <c r="D247"/>
  <c r="D255"/>
  <c r="D246"/>
  <c r="D239"/>
  <c r="D244"/>
  <c r="D254"/>
  <c r="D245"/>
  <c r="D251"/>
  <c r="D256"/>
  <c r="DI12"/>
  <c r="DI10"/>
  <c r="DI8"/>
  <c r="M4"/>
  <c r="DI11"/>
  <c r="DI9"/>
  <c r="D232" l="1"/>
  <c r="J27" i="3"/>
  <c r="F223" i="2"/>
  <c r="F228" s="1"/>
  <c r="Q26" i="3" s="1"/>
  <c r="F226" i="2"/>
  <c r="F224"/>
  <c r="F222"/>
  <c r="F220"/>
  <c r="H220" s="1"/>
  <c r="F218"/>
  <c r="H218" s="1"/>
  <c r="F216"/>
  <c r="H216" s="1"/>
  <c r="F214"/>
  <c r="H214" s="1"/>
  <c r="F212"/>
  <c r="H212" s="1"/>
  <c r="F210"/>
  <c r="H210" s="1"/>
  <c r="F204"/>
  <c r="H204" s="1"/>
  <c r="F213"/>
  <c r="H213" s="1"/>
  <c r="F219"/>
  <c r="H219" s="1"/>
  <c r="F217"/>
  <c r="H217" s="1"/>
  <c r="F215"/>
  <c r="H215" s="1"/>
  <c r="F211"/>
  <c r="H211" s="1"/>
  <c r="F209"/>
  <c r="H209" s="1"/>
  <c r="F205"/>
  <c r="H205" s="1"/>
  <c r="N4"/>
  <c r="F237"/>
  <c r="C95"/>
  <c r="B96"/>
  <c r="F259" l="1"/>
  <c r="F264" s="1"/>
  <c r="F262"/>
  <c r="F260"/>
  <c r="F258"/>
  <c r="F246"/>
  <c r="H246" s="1"/>
  <c r="F250"/>
  <c r="H250" s="1"/>
  <c r="F254"/>
  <c r="H254" s="1"/>
  <c r="F240"/>
  <c r="H240" s="1"/>
  <c r="F248"/>
  <c r="H248" s="1"/>
  <c r="F252"/>
  <c r="H252" s="1"/>
  <c r="F256"/>
  <c r="H256" s="1"/>
  <c r="F253"/>
  <c r="H253" s="1"/>
  <c r="F245"/>
  <c r="H245" s="1"/>
  <c r="F247"/>
  <c r="H247" s="1"/>
  <c r="F251"/>
  <c r="H251" s="1"/>
  <c r="F255"/>
  <c r="H255" s="1"/>
  <c r="F249"/>
  <c r="H249" s="1"/>
  <c r="F241"/>
  <c r="H241" s="1"/>
  <c r="O4"/>
  <c r="B97"/>
  <c r="C96"/>
  <c r="B98" l="1"/>
  <c r="C97"/>
  <c r="P4"/>
  <c r="GF21" l="1"/>
  <c r="GE21"/>
  <c r="BB21"/>
  <c r="GE17"/>
  <c r="GE18"/>
  <c r="BA14"/>
  <c r="GF8"/>
  <c r="Q4"/>
  <c r="BA13"/>
  <c r="BA11"/>
  <c r="BA9"/>
  <c r="BB14"/>
  <c r="GE11"/>
  <c r="BB15"/>
  <c r="BA15"/>
  <c r="GF15"/>
  <c r="GE15"/>
  <c r="GF19"/>
  <c r="BB19"/>
  <c r="BA19"/>
  <c r="GE19"/>
  <c r="BB18"/>
  <c r="GF18"/>
  <c r="GF23"/>
  <c r="BA23"/>
  <c r="BB23"/>
  <c r="GE23"/>
  <c r="BB22"/>
  <c r="BA22"/>
  <c r="GF22"/>
  <c r="GE22"/>
  <c r="GE10"/>
  <c r="BB17"/>
  <c r="BA10"/>
  <c r="BB9"/>
  <c r="GE12"/>
  <c r="BA12"/>
  <c r="BB13"/>
  <c r="GE13"/>
  <c r="GF16"/>
  <c r="BB16"/>
  <c r="BA16"/>
  <c r="GE16"/>
  <c r="BA20"/>
  <c r="BB20"/>
  <c r="GE20"/>
  <c r="GF20"/>
  <c r="GE24"/>
  <c r="BB24"/>
  <c r="BA24"/>
  <c r="GF24"/>
  <c r="B99"/>
  <c r="C98"/>
  <c r="GF13"/>
  <c r="B100" l="1"/>
  <c r="C99"/>
  <c r="BA18"/>
  <c r="BA21"/>
  <c r="BA17"/>
  <c r="GF9"/>
  <c r="GE8"/>
  <c r="BA8"/>
  <c r="R4"/>
  <c r="GF14"/>
  <c r="GE14"/>
  <c r="GF17"/>
  <c r="GE9"/>
  <c r="BB8"/>
  <c r="BA25" l="1"/>
  <c r="BA43" s="1"/>
  <c r="J44" i="3" s="1"/>
  <c r="D6" i="4" s="1"/>
  <c r="D10" s="1"/>
  <c r="B101" i="2"/>
  <c r="C100"/>
  <c r="GE25"/>
  <c r="S4"/>
  <c r="GE29" l="1"/>
  <c r="BA41"/>
  <c r="BA42" s="1"/>
  <c r="D26" i="4"/>
  <c r="D9"/>
  <c r="D8"/>
  <c r="D11" s="1"/>
  <c r="GE33" i="2"/>
  <c r="GE37" s="1"/>
  <c r="GG39" s="1"/>
  <c r="D28" i="4"/>
  <c r="D32" s="1"/>
  <c r="H23" i="5" s="1"/>
  <c r="T4" i="2"/>
  <c r="B102"/>
  <c r="C101"/>
  <c r="J43" i="3" l="1"/>
  <c r="D29" i="4"/>
  <c r="D30" s="1"/>
  <c r="D27"/>
  <c r="BF16" i="2"/>
  <c r="BF13"/>
  <c r="BE24"/>
  <c r="BD20"/>
  <c r="BE19"/>
  <c r="BE18"/>
  <c r="BF14"/>
  <c r="BE10"/>
  <c r="U4"/>
  <c r="BE11"/>
  <c r="BD14"/>
  <c r="BE14"/>
  <c r="BD15"/>
  <c r="BE15"/>
  <c r="B103"/>
  <c r="C102"/>
  <c r="BE20"/>
  <c r="BD19"/>
  <c r="BD24"/>
  <c r="BF10"/>
  <c r="BD10"/>
  <c r="BD18"/>
  <c r="BE23"/>
  <c r="BD23"/>
  <c r="BF23"/>
  <c r="BF22"/>
  <c r="BD22"/>
  <c r="BE22"/>
  <c r="BD11"/>
  <c r="BF19"/>
  <c r="BF15"/>
  <c r="BR10" l="1"/>
  <c r="BR14"/>
  <c r="BR7"/>
  <c r="BR18"/>
  <c r="BG18"/>
  <c r="BR15"/>
  <c r="BR11"/>
  <c r="CF18"/>
  <c r="CC18"/>
  <c r="CJ14"/>
  <c r="BY18"/>
  <c r="CJ18"/>
  <c r="CJ15"/>
  <c r="BK18"/>
  <c r="BJ18"/>
  <c r="BO18"/>
  <c r="BN18"/>
  <c r="CG18"/>
  <c r="CB18"/>
  <c r="BY14"/>
  <c r="CF14"/>
  <c r="CF15"/>
  <c r="CB14"/>
  <c r="CB15"/>
  <c r="BK14"/>
  <c r="BK15"/>
  <c r="BJ14"/>
  <c r="BJ15"/>
  <c r="BO10"/>
  <c r="BO14"/>
  <c r="BO7"/>
  <c r="BO15"/>
  <c r="BG15"/>
  <c r="BO11"/>
  <c r="BN7"/>
  <c r="BG14"/>
  <c r="BN10"/>
  <c r="BN14"/>
  <c r="BN11"/>
  <c r="BN15"/>
  <c r="CG14"/>
  <c r="CG15"/>
  <c r="BY15"/>
  <c r="CC14"/>
  <c r="CC15"/>
  <c r="D25" i="4"/>
  <c r="F23" i="5"/>
  <c r="BK10" i="2"/>
  <c r="BK7"/>
  <c r="BK11"/>
  <c r="BG11"/>
  <c r="DJ24"/>
  <c r="DJ22"/>
  <c r="DJ20"/>
  <c r="DJ23"/>
  <c r="DJ21"/>
  <c r="DJ18"/>
  <c r="DJ16"/>
  <c r="DJ19"/>
  <c r="DJ17"/>
  <c r="DJ15"/>
  <c r="DJ13"/>
  <c r="DJ11"/>
  <c r="DJ9"/>
  <c r="DJ14"/>
  <c r="DJ12"/>
  <c r="DJ10"/>
  <c r="DJ8"/>
  <c r="V4"/>
  <c r="BD17"/>
  <c r="BE17"/>
  <c r="CJ17" s="1"/>
  <c r="B104"/>
  <c r="C103"/>
  <c r="BE9"/>
  <c r="BF9"/>
  <c r="BD13"/>
  <c r="BE13"/>
  <c r="CJ13" s="1"/>
  <c r="BE8"/>
  <c r="BD8"/>
  <c r="BD12"/>
  <c r="BF12"/>
  <c r="BD16"/>
  <c r="BE16"/>
  <c r="BF21"/>
  <c r="BE21"/>
  <c r="BD21"/>
  <c r="BF11"/>
  <c r="BF18"/>
  <c r="BF24"/>
  <c r="BF20"/>
  <c r="BE12"/>
  <c r="BF17"/>
  <c r="BF8"/>
  <c r="BG10"/>
  <c r="BJ10"/>
  <c r="BJ7"/>
  <c r="BJ11"/>
  <c r="CC8"/>
  <c r="BD9"/>
  <c r="BP18" l="1"/>
  <c r="BP17"/>
  <c r="BJ12"/>
  <c r="BL18"/>
  <c r="BL17"/>
  <c r="BZ18"/>
  <c r="BZ17"/>
  <c r="BM17"/>
  <c r="BM18"/>
  <c r="CG9"/>
  <c r="CA18"/>
  <c r="CA17"/>
  <c r="BQ12"/>
  <c r="BQ10"/>
  <c r="BQ14"/>
  <c r="BQ7"/>
  <c r="BQ16"/>
  <c r="BQ11"/>
  <c r="BQ17"/>
  <c r="BQ9"/>
  <c r="BQ15"/>
  <c r="BQ13"/>
  <c r="BQ18"/>
  <c r="BG17"/>
  <c r="BQ8"/>
  <c r="DR17"/>
  <c r="DS17"/>
  <c r="DQ17"/>
  <c r="CJ8"/>
  <c r="BR13"/>
  <c r="BR17"/>
  <c r="BR16"/>
  <c r="BR12"/>
  <c r="BI17"/>
  <c r="BI18"/>
  <c r="CD18"/>
  <c r="CD17"/>
  <c r="CB16"/>
  <c r="CH18"/>
  <c r="CH17"/>
  <c r="BJ8"/>
  <c r="BH18"/>
  <c r="BH17"/>
  <c r="CE18"/>
  <c r="CE17"/>
  <c r="CI14"/>
  <c r="CI8"/>
  <c r="CI16"/>
  <c r="CI18"/>
  <c r="BY17"/>
  <c r="CI15"/>
  <c r="CI13"/>
  <c r="CI17"/>
  <c r="CI9"/>
  <c r="DQ18"/>
  <c r="DS18"/>
  <c r="DR18"/>
  <c r="CB17"/>
  <c r="CG17"/>
  <c r="BN17"/>
  <c r="BO17"/>
  <c r="BJ17"/>
  <c r="BK17"/>
  <c r="CJ9"/>
  <c r="CJ16"/>
  <c r="CC17"/>
  <c r="CF17"/>
  <c r="BR8"/>
  <c r="BR44" s="1"/>
  <c r="BR9"/>
  <c r="D31" i="4"/>
  <c r="B24" i="5" s="1"/>
  <c r="CC9" i="2"/>
  <c r="CE16"/>
  <c r="CE8"/>
  <c r="CE14"/>
  <c r="CE15"/>
  <c r="CE13"/>
  <c r="BY13"/>
  <c r="CE9"/>
  <c r="DS14"/>
  <c r="DR14"/>
  <c r="DQ14"/>
  <c r="BI16"/>
  <c r="BI14"/>
  <c r="BI15"/>
  <c r="BI13"/>
  <c r="BP12"/>
  <c r="BP10"/>
  <c r="BP16"/>
  <c r="BP14"/>
  <c r="BP7"/>
  <c r="BG16"/>
  <c r="BP11"/>
  <c r="BP9"/>
  <c r="BP15"/>
  <c r="BP13"/>
  <c r="BP8"/>
  <c r="BL16"/>
  <c r="BL14"/>
  <c r="BL15"/>
  <c r="BL13"/>
  <c r="BZ14"/>
  <c r="BZ16"/>
  <c r="BZ13"/>
  <c r="BZ15"/>
  <c r="BM7"/>
  <c r="BM16"/>
  <c r="BM12"/>
  <c r="BM10"/>
  <c r="BM14"/>
  <c r="BM11"/>
  <c r="BM9"/>
  <c r="BM15"/>
  <c r="BM13"/>
  <c r="BG13"/>
  <c r="BM8"/>
  <c r="CA16"/>
  <c r="CA14"/>
  <c r="CA15"/>
  <c r="CA13"/>
  <c r="DS13"/>
  <c r="DR13"/>
  <c r="DQ13"/>
  <c r="DS16"/>
  <c r="DQ16"/>
  <c r="DR16"/>
  <c r="CG13"/>
  <c r="CG16"/>
  <c r="CG8"/>
  <c r="BN13"/>
  <c r="BN9"/>
  <c r="BN16"/>
  <c r="BN12"/>
  <c r="BO13"/>
  <c r="BO16"/>
  <c r="BO12"/>
  <c r="BJ13"/>
  <c r="BJ16"/>
  <c r="BK16"/>
  <c r="CF13"/>
  <c r="CD14"/>
  <c r="CD16"/>
  <c r="CD13"/>
  <c r="CD15"/>
  <c r="CH14"/>
  <c r="CH8"/>
  <c r="BY16"/>
  <c r="CH16"/>
  <c r="CH13"/>
  <c r="CH15"/>
  <c r="CH9"/>
  <c r="BH16"/>
  <c r="BH14"/>
  <c r="BH15"/>
  <c r="BH13"/>
  <c r="DS15"/>
  <c r="DR15"/>
  <c r="DQ15"/>
  <c r="CC13"/>
  <c r="CC16"/>
  <c r="BN8"/>
  <c r="BN44" s="1"/>
  <c r="BO8"/>
  <c r="BO9"/>
  <c r="BK13"/>
  <c r="CB13"/>
  <c r="CF9"/>
  <c r="CF8"/>
  <c r="CF16"/>
  <c r="CD8"/>
  <c r="CD9"/>
  <c r="BH7"/>
  <c r="BH12"/>
  <c r="BH10"/>
  <c r="BH11"/>
  <c r="BH9"/>
  <c r="BH8"/>
  <c r="BG8"/>
  <c r="BI7"/>
  <c r="BI12"/>
  <c r="BI10"/>
  <c r="BG9"/>
  <c r="BI11"/>
  <c r="BI9"/>
  <c r="BI8"/>
  <c r="BL7"/>
  <c r="BG12"/>
  <c r="BL12"/>
  <c r="BL10"/>
  <c r="BL11"/>
  <c r="BL9"/>
  <c r="BL8"/>
  <c r="BZ8"/>
  <c r="BY8"/>
  <c r="BZ9"/>
  <c r="CA8"/>
  <c r="CA9"/>
  <c r="BY9"/>
  <c r="B105"/>
  <c r="C104"/>
  <c r="DR8"/>
  <c r="DQ8"/>
  <c r="DS8"/>
  <c r="DR12"/>
  <c r="DQ12"/>
  <c r="DS12"/>
  <c r="DR9"/>
  <c r="DQ9"/>
  <c r="DS9"/>
  <c r="BJ9"/>
  <c r="BJ44" s="1"/>
  <c r="BK9"/>
  <c r="BK12"/>
  <c r="CB8"/>
  <c r="AL12"/>
  <c r="AL10"/>
  <c r="AL11"/>
  <c r="W4"/>
  <c r="DR10"/>
  <c r="DS10"/>
  <c r="DQ10"/>
  <c r="DQ11"/>
  <c r="DS11"/>
  <c r="DR11"/>
  <c r="BK8"/>
  <c r="CB9"/>
  <c r="BQ44" l="1"/>
  <c r="DW18"/>
  <c r="DW17"/>
  <c r="DU17"/>
  <c r="DU18"/>
  <c r="EP18"/>
  <c r="EP17"/>
  <c r="DX18"/>
  <c r="DX17"/>
  <c r="EN18"/>
  <c r="EN17"/>
  <c r="DY17"/>
  <c r="DY18"/>
  <c r="EM18"/>
  <c r="EM17"/>
  <c r="EB18"/>
  <c r="EB17"/>
  <c r="EU18"/>
  <c r="EU17"/>
  <c r="ER18"/>
  <c r="ER17"/>
  <c r="EA18"/>
  <c r="EA17"/>
  <c r="EW16"/>
  <c r="EL18"/>
  <c r="EW14"/>
  <c r="EW18"/>
  <c r="EW8"/>
  <c r="EW17"/>
  <c r="EW15"/>
  <c r="EW13"/>
  <c r="EW9"/>
  <c r="EE12"/>
  <c r="EE10"/>
  <c r="EE16"/>
  <c r="EE7"/>
  <c r="EE14"/>
  <c r="DT18"/>
  <c r="EE18"/>
  <c r="EE11"/>
  <c r="EE9"/>
  <c r="EE15"/>
  <c r="EE17"/>
  <c r="EE13"/>
  <c r="EE8"/>
  <c r="ED7"/>
  <c r="ED12"/>
  <c r="ED10"/>
  <c r="ED16"/>
  <c r="ED14"/>
  <c r="DT17"/>
  <c r="ED15"/>
  <c r="ED18"/>
  <c r="ED11"/>
  <c r="ED17"/>
  <c r="ED9"/>
  <c r="ED13"/>
  <c r="ED8"/>
  <c r="EV8"/>
  <c r="EV16"/>
  <c r="EV14"/>
  <c r="EV18"/>
  <c r="EL17"/>
  <c r="EV15"/>
  <c r="EV17"/>
  <c r="EV13"/>
  <c r="EV9"/>
  <c r="EO18"/>
  <c r="EO17"/>
  <c r="DV18"/>
  <c r="DV17"/>
  <c r="EQ18"/>
  <c r="EQ17"/>
  <c r="ET18"/>
  <c r="ET17"/>
  <c r="EC17"/>
  <c r="EC18"/>
  <c r="DZ18"/>
  <c r="DZ17"/>
  <c r="ES18"/>
  <c r="ES17"/>
  <c r="BI44"/>
  <c r="BH44"/>
  <c r="BO44"/>
  <c r="BM44"/>
  <c r="BP44"/>
  <c r="EP14"/>
  <c r="EP16"/>
  <c r="EP15"/>
  <c r="EP13"/>
  <c r="EN14"/>
  <c r="EN16"/>
  <c r="EN13"/>
  <c r="EN15"/>
  <c r="DW16"/>
  <c r="DW14"/>
  <c r="DW15"/>
  <c r="DW13"/>
  <c r="EO16"/>
  <c r="EO14"/>
  <c r="EO15"/>
  <c r="EO13"/>
  <c r="DV16"/>
  <c r="DV14"/>
  <c r="DV15"/>
  <c r="DV13"/>
  <c r="EQ14"/>
  <c r="EQ16"/>
  <c r="EQ15"/>
  <c r="EQ13"/>
  <c r="DU16"/>
  <c r="DU14"/>
  <c r="DU15"/>
  <c r="DU13"/>
  <c r="ET14"/>
  <c r="ET16"/>
  <c r="ET8"/>
  <c r="ET15"/>
  <c r="EL15"/>
  <c r="ET13"/>
  <c r="ET9"/>
  <c r="EU14"/>
  <c r="EL16"/>
  <c r="EU8"/>
  <c r="EU16"/>
  <c r="EU15"/>
  <c r="EU13"/>
  <c r="EU9"/>
  <c r="ER8"/>
  <c r="ER14"/>
  <c r="ER16"/>
  <c r="ER13"/>
  <c r="ER15"/>
  <c r="EL13"/>
  <c r="ER9"/>
  <c r="EA7"/>
  <c r="EA14"/>
  <c r="EA12"/>
  <c r="EA10"/>
  <c r="EA16"/>
  <c r="DT14"/>
  <c r="EA11"/>
  <c r="EA9"/>
  <c r="EA15"/>
  <c r="EA13"/>
  <c r="EA8"/>
  <c r="DX16"/>
  <c r="DX14"/>
  <c r="DX13"/>
  <c r="DX15"/>
  <c r="DY16"/>
  <c r="DY14"/>
  <c r="DY15"/>
  <c r="DY13"/>
  <c r="EM14"/>
  <c r="EM16"/>
  <c r="EM15"/>
  <c r="EM13"/>
  <c r="EB7"/>
  <c r="EB12"/>
  <c r="EB10"/>
  <c r="EB16"/>
  <c r="EB14"/>
  <c r="EB11"/>
  <c r="EB9"/>
  <c r="EB15"/>
  <c r="DT15"/>
  <c r="EB13"/>
  <c r="EB8"/>
  <c r="EC12"/>
  <c r="EC10"/>
  <c r="EC16"/>
  <c r="EC7"/>
  <c r="DT16"/>
  <c r="EC14"/>
  <c r="EC11"/>
  <c r="EC9"/>
  <c r="EC15"/>
  <c r="EC13"/>
  <c r="EC8"/>
  <c r="DZ16"/>
  <c r="DZ14"/>
  <c r="DZ7"/>
  <c r="DZ12"/>
  <c r="DZ10"/>
  <c r="DZ15"/>
  <c r="DZ11"/>
  <c r="DZ9"/>
  <c r="DZ13"/>
  <c r="DT13"/>
  <c r="DZ8"/>
  <c r="EL14"/>
  <c r="ES16"/>
  <c r="ES8"/>
  <c r="ES14"/>
  <c r="ES15"/>
  <c r="ES13"/>
  <c r="ES9"/>
  <c r="BK44"/>
  <c r="BL44"/>
  <c r="DW12"/>
  <c r="DW10"/>
  <c r="DT10"/>
  <c r="DW7"/>
  <c r="DW11"/>
  <c r="DW9"/>
  <c r="DW8"/>
  <c r="AM9"/>
  <c r="AL9"/>
  <c r="AM14"/>
  <c r="AL14"/>
  <c r="AM18"/>
  <c r="AL18"/>
  <c r="AM17"/>
  <c r="AL17"/>
  <c r="AM20"/>
  <c r="AL20"/>
  <c r="AM24"/>
  <c r="AL24"/>
  <c r="AM23"/>
  <c r="AL23"/>
  <c r="DV7"/>
  <c r="DV12"/>
  <c r="DV10"/>
  <c r="DV11"/>
  <c r="DV9"/>
  <c r="DT9"/>
  <c r="DV8"/>
  <c r="EQ8"/>
  <c r="EQ9"/>
  <c r="DU7"/>
  <c r="DU12"/>
  <c r="DU10"/>
  <c r="DU11"/>
  <c r="DU9"/>
  <c r="DU8"/>
  <c r="DT8"/>
  <c r="BG44"/>
  <c r="EO8"/>
  <c r="EO9"/>
  <c r="AM13"/>
  <c r="AL13"/>
  <c r="EP8"/>
  <c r="EP9"/>
  <c r="DX12"/>
  <c r="DX10"/>
  <c r="DX7"/>
  <c r="DX11"/>
  <c r="DT11"/>
  <c r="DX9"/>
  <c r="DX8"/>
  <c r="X4"/>
  <c r="AM8"/>
  <c r="AL8"/>
  <c r="AM16"/>
  <c r="AL16"/>
  <c r="AM15"/>
  <c r="AL15"/>
  <c r="AM19"/>
  <c r="AL19"/>
  <c r="AM22"/>
  <c r="AL22"/>
  <c r="AM21"/>
  <c r="AL21"/>
  <c r="EN8"/>
  <c r="EN9"/>
  <c r="EL9"/>
  <c r="DY7"/>
  <c r="DT12"/>
  <c r="DY12"/>
  <c r="DY10"/>
  <c r="DY11"/>
  <c r="DY9"/>
  <c r="DY8"/>
  <c r="EM8"/>
  <c r="EL8"/>
  <c r="EM9"/>
  <c r="B106"/>
  <c r="C105"/>
  <c r="ED46" l="1"/>
  <c r="DZ46"/>
  <c r="EB46"/>
  <c r="EE46"/>
  <c r="BG45"/>
  <c r="BH45" s="1"/>
  <c r="DU46"/>
  <c r="DV46"/>
  <c r="EA46"/>
  <c r="EC46"/>
  <c r="DY46"/>
  <c r="DW46"/>
  <c r="DX46"/>
  <c r="Y4"/>
  <c r="AL25"/>
  <c r="DT46"/>
  <c r="B107"/>
  <c r="C106"/>
  <c r="J42" i="3" l="1"/>
  <c r="DT47" i="2"/>
  <c r="DU47" s="1"/>
  <c r="DV47" s="1"/>
  <c r="DV48" s="1"/>
  <c r="B108"/>
  <c r="C107"/>
  <c r="AL38"/>
  <c r="AL35"/>
  <c r="J40" i="3" l="1"/>
  <c r="DW48" i="2"/>
  <c r="J41" i="3"/>
  <c r="AL40" i="2"/>
  <c r="J38" i="3" s="1"/>
  <c r="AL39" i="2"/>
  <c r="B109"/>
  <c r="C108"/>
  <c r="AL37"/>
  <c r="J36" i="3" s="1"/>
  <c r="AL36" i="2"/>
  <c r="B110" l="1"/>
  <c r="C109"/>
  <c r="B111" l="1"/>
  <c r="C110"/>
  <c r="B112" l="1"/>
  <c r="C111"/>
  <c r="B113" l="1"/>
  <c r="C112"/>
  <c r="B114" l="1"/>
  <c r="C113"/>
  <c r="B115" l="1"/>
  <c r="C114"/>
  <c r="B116" l="1"/>
  <c r="C115"/>
  <c r="B117" l="1"/>
  <c r="C116"/>
  <c r="B118" l="1"/>
  <c r="C117"/>
  <c r="C118" l="1"/>
  <c r="B119"/>
  <c r="B120" l="1"/>
  <c r="C119"/>
  <c r="B121" l="1"/>
  <c r="C120"/>
  <c r="B122" l="1"/>
  <c r="C121"/>
  <c r="B123" l="1"/>
  <c r="C122"/>
  <c r="B124" l="1"/>
  <c r="C123"/>
  <c r="B125" l="1"/>
  <c r="C124"/>
  <c r="G70"/>
  <c r="G71"/>
  <c r="B126" l="1"/>
  <c r="C125"/>
  <c r="G72"/>
  <c r="G75" s="1"/>
  <c r="G77" s="1"/>
  <c r="I101" l="1"/>
  <c r="U6" i="3" s="1"/>
  <c r="G96" i="2"/>
  <c r="B127"/>
  <c r="C126"/>
  <c r="I105" l="1"/>
  <c r="U10" i="3" s="1"/>
  <c r="I104" i="2"/>
  <c r="U9" i="3" s="1"/>
  <c r="I106" i="2"/>
  <c r="U11" i="3" s="1"/>
  <c r="B128" i="2"/>
  <c r="C127"/>
  <c r="E203"/>
  <c r="G101"/>
  <c r="AC7"/>
  <c r="E239" l="1"/>
  <c r="F239" s="1"/>
  <c r="H239" s="1"/>
  <c r="F203"/>
  <c r="H203" s="1"/>
  <c r="B129"/>
  <c r="C128"/>
  <c r="E206"/>
  <c r="G104"/>
  <c r="AC10"/>
  <c r="GC7"/>
  <c r="FC7"/>
  <c r="FA7"/>
  <c r="EY7"/>
  <c r="EW7"/>
  <c r="EU7"/>
  <c r="ES7"/>
  <c r="EQ7"/>
  <c r="EO7"/>
  <c r="EM7"/>
  <c r="CO7"/>
  <c r="CM7"/>
  <c r="CI7"/>
  <c r="CG7"/>
  <c r="CE7"/>
  <c r="CC7"/>
  <c r="CA7"/>
  <c r="BY7"/>
  <c r="AW7"/>
  <c r="GF7"/>
  <c r="FZ7"/>
  <c r="FZ50" s="1"/>
  <c r="P31" i="3" s="1"/>
  <c r="FB7" i="2"/>
  <c r="EZ7"/>
  <c r="EX7"/>
  <c r="EV7"/>
  <c r="ET7"/>
  <c r="ER7"/>
  <c r="EP7"/>
  <c r="EN7"/>
  <c r="EL7"/>
  <c r="CP7"/>
  <c r="CN7"/>
  <c r="CL7"/>
  <c r="CJ7"/>
  <c r="CH7"/>
  <c r="CF7"/>
  <c r="CD7"/>
  <c r="CB7"/>
  <c r="BZ7"/>
  <c r="BB7"/>
  <c r="AJ7"/>
  <c r="CK7"/>
  <c r="AQ7"/>
  <c r="AM7"/>
  <c r="AG7"/>
  <c r="E208"/>
  <c r="G106"/>
  <c r="AC12"/>
  <c r="E207"/>
  <c r="G105"/>
  <c r="AC11"/>
  <c r="I119"/>
  <c r="U24" i="3" s="1"/>
  <c r="GC24" i="2" l="1"/>
  <c r="GC23"/>
  <c r="GC22"/>
  <c r="GC21"/>
  <c r="GC20"/>
  <c r="GC19"/>
  <c r="GC18"/>
  <c r="GC17"/>
  <c r="GC16"/>
  <c r="GC15"/>
  <c r="GC14"/>
  <c r="GC13"/>
  <c r="GC12"/>
  <c r="GC11"/>
  <c r="GC10"/>
  <c r="GC9"/>
  <c r="GC8"/>
  <c r="G119"/>
  <c r="J118" s="1"/>
  <c r="GF12"/>
  <c r="FC12"/>
  <c r="FA12"/>
  <c r="EY12"/>
  <c r="EW12"/>
  <c r="EU12"/>
  <c r="ES12"/>
  <c r="EQ12"/>
  <c r="EO12"/>
  <c r="EM12"/>
  <c r="CO12"/>
  <c r="CM12"/>
  <c r="CK12"/>
  <c r="CI12"/>
  <c r="CG12"/>
  <c r="CE12"/>
  <c r="CC12"/>
  <c r="CA12"/>
  <c r="BY12"/>
  <c r="AW12"/>
  <c r="AQ12"/>
  <c r="AM12"/>
  <c r="AG12"/>
  <c r="FB12"/>
  <c r="EZ12"/>
  <c r="EX12"/>
  <c r="EV12"/>
  <c r="ET12"/>
  <c r="ER12"/>
  <c r="EP12"/>
  <c r="EN12"/>
  <c r="EL12"/>
  <c r="CP12"/>
  <c r="CN12"/>
  <c r="CL12"/>
  <c r="CJ12"/>
  <c r="CH12"/>
  <c r="CF12"/>
  <c r="CD12"/>
  <c r="CB12"/>
  <c r="BZ12"/>
  <c r="BB12"/>
  <c r="AJ12"/>
  <c r="E244"/>
  <c r="F244" s="1"/>
  <c r="H244" s="1"/>
  <c r="F208"/>
  <c r="H208" s="1"/>
  <c r="GF10"/>
  <c r="FC10"/>
  <c r="FA10"/>
  <c r="EY10"/>
  <c r="EW10"/>
  <c r="EU10"/>
  <c r="ES10"/>
  <c r="EQ10"/>
  <c r="EO10"/>
  <c r="EM10"/>
  <c r="CO10"/>
  <c r="CM10"/>
  <c r="CK10"/>
  <c r="CI10"/>
  <c r="CG10"/>
  <c r="CE10"/>
  <c r="CC10"/>
  <c r="CA10"/>
  <c r="BY10"/>
  <c r="AW10"/>
  <c r="AQ10"/>
  <c r="AM10"/>
  <c r="AG10"/>
  <c r="FB10"/>
  <c r="EZ10"/>
  <c r="EX10"/>
  <c r="EV10"/>
  <c r="ET10"/>
  <c r="ER10"/>
  <c r="EP10"/>
  <c r="EN10"/>
  <c r="EL10"/>
  <c r="CP10"/>
  <c r="CN10"/>
  <c r="CL10"/>
  <c r="CJ10"/>
  <c r="CH10"/>
  <c r="CF10"/>
  <c r="CD10"/>
  <c r="CB10"/>
  <c r="BZ10"/>
  <c r="BB10"/>
  <c r="AJ10"/>
  <c r="E242"/>
  <c r="F242" s="1"/>
  <c r="H242" s="1"/>
  <c r="F206"/>
  <c r="H206" s="1"/>
  <c r="B130"/>
  <c r="C129"/>
  <c r="J105"/>
  <c r="FB11"/>
  <c r="EZ11"/>
  <c r="EX11"/>
  <c r="EV11"/>
  <c r="ET11"/>
  <c r="ER11"/>
  <c r="EP11"/>
  <c r="EN11"/>
  <c r="EL11"/>
  <c r="CP11"/>
  <c r="CN11"/>
  <c r="CL11"/>
  <c r="CJ11"/>
  <c r="CH11"/>
  <c r="CF11"/>
  <c r="CD11"/>
  <c r="CB11"/>
  <c r="BZ11"/>
  <c r="BB11"/>
  <c r="AJ11"/>
  <c r="GF11"/>
  <c r="FC11"/>
  <c r="FA11"/>
  <c r="EY11"/>
  <c r="EW11"/>
  <c r="EU11"/>
  <c r="ES11"/>
  <c r="EQ11"/>
  <c r="EO11"/>
  <c r="EM11"/>
  <c r="EM46" s="1"/>
  <c r="CO11"/>
  <c r="CM11"/>
  <c r="CK11"/>
  <c r="CI11"/>
  <c r="CG11"/>
  <c r="CE11"/>
  <c r="CC11"/>
  <c r="CA11"/>
  <c r="BY11"/>
  <c r="AW11"/>
  <c r="AW25" s="1"/>
  <c r="Q29" i="3" s="1"/>
  <c r="AQ11" i="2"/>
  <c r="AQ25" s="1"/>
  <c r="Q28" i="3" s="1"/>
  <c r="AM11" i="2"/>
  <c r="AM25" s="1"/>
  <c r="AG11"/>
  <c r="E243"/>
  <c r="F243" s="1"/>
  <c r="H243" s="1"/>
  <c r="F207"/>
  <c r="H207" s="1"/>
  <c r="EP46" l="1"/>
  <c r="EV46"/>
  <c r="CJ44"/>
  <c r="CI44"/>
  <c r="EW46"/>
  <c r="GC50"/>
  <c r="P32" i="3" s="1"/>
  <c r="H201" i="2"/>
  <c r="G203" s="1"/>
  <c r="J203" s="1"/>
  <c r="AJ25"/>
  <c r="AJ29" s="1"/>
  <c r="EN46"/>
  <c r="J104"/>
  <c r="AR10" s="1"/>
  <c r="AG25"/>
  <c r="Q33" i="3" s="1"/>
  <c r="CC44" i="2"/>
  <c r="EO46"/>
  <c r="GF25"/>
  <c r="BB25"/>
  <c r="BB43" s="1"/>
  <c r="Q44" i="3" s="1"/>
  <c r="J106" i="2"/>
  <c r="AX12" s="1"/>
  <c r="CF44"/>
  <c r="ET46"/>
  <c r="CE44"/>
  <c r="EU46"/>
  <c r="CH44"/>
  <c r="ER46"/>
  <c r="CG44"/>
  <c r="ES46"/>
  <c r="J107"/>
  <c r="AR13" s="1"/>
  <c r="J115"/>
  <c r="AX21" s="1"/>
  <c r="J116"/>
  <c r="AX22" s="1"/>
  <c r="EL46"/>
  <c r="J103"/>
  <c r="AR9" s="1"/>
  <c r="J111"/>
  <c r="AX17" s="1"/>
  <c r="J108"/>
  <c r="AX14" s="1"/>
  <c r="J114"/>
  <c r="AX20" s="1"/>
  <c r="CB44"/>
  <c r="BZ44"/>
  <c r="CD44"/>
  <c r="BY44"/>
  <c r="J101"/>
  <c r="AX7" s="1"/>
  <c r="J117"/>
  <c r="AX23" s="1"/>
  <c r="J109"/>
  <c r="AR15" s="1"/>
  <c r="J113"/>
  <c r="AX19" s="1"/>
  <c r="J102"/>
  <c r="AX8" s="1"/>
  <c r="J112"/>
  <c r="AX18" s="1"/>
  <c r="J110"/>
  <c r="AX16" s="1"/>
  <c r="EQ46"/>
  <c r="AM35"/>
  <c r="AX10"/>
  <c r="AX15"/>
  <c r="AX24"/>
  <c r="AR24"/>
  <c r="G206"/>
  <c r="CA44"/>
  <c r="H226"/>
  <c r="H224"/>
  <c r="H222"/>
  <c r="H223"/>
  <c r="H228" s="1"/>
  <c r="X26" i="3" s="1"/>
  <c r="G219" i="2"/>
  <c r="G220"/>
  <c r="G213"/>
  <c r="G215"/>
  <c r="G204"/>
  <c r="G216"/>
  <c r="G205"/>
  <c r="G217"/>
  <c r="G210"/>
  <c r="G218"/>
  <c r="G209"/>
  <c r="G212"/>
  <c r="G211"/>
  <c r="G214"/>
  <c r="AX11"/>
  <c r="AR11"/>
  <c r="AR12"/>
  <c r="B131"/>
  <c r="C130"/>
  <c r="H237"/>
  <c r="G243" s="1"/>
  <c r="I243" s="1"/>
  <c r="G208"/>
  <c r="AX13" l="1"/>
  <c r="GF33"/>
  <c r="GF37" s="1"/>
  <c r="GG37" s="1"/>
  <c r="GG40" s="1"/>
  <c r="G207"/>
  <c r="E221"/>
  <c r="F225" s="1"/>
  <c r="F227" s="1"/>
  <c r="L203"/>
  <c r="Y6" i="3" s="1"/>
  <c r="AR14" i="2"/>
  <c r="BB41"/>
  <c r="BB42" s="1"/>
  <c r="AR8"/>
  <c r="AG27"/>
  <c r="AG28" s="1"/>
  <c r="AR19"/>
  <c r="EL47"/>
  <c r="EM47" s="1"/>
  <c r="EN47" s="1"/>
  <c r="EN48" s="1"/>
  <c r="AR22"/>
  <c r="AX9"/>
  <c r="AX25" s="1"/>
  <c r="GF29"/>
  <c r="AR16"/>
  <c r="AG26"/>
  <c r="AM38" s="1"/>
  <c r="AM40" s="1"/>
  <c r="Q38" i="3" s="1"/>
  <c r="E257" i="2"/>
  <c r="F261" s="1"/>
  <c r="F263" s="1"/>
  <c r="AR20"/>
  <c r="AR21"/>
  <c r="AR17"/>
  <c r="J119"/>
  <c r="AR7"/>
  <c r="G242"/>
  <c r="I242" s="1"/>
  <c r="AR18"/>
  <c r="AR23"/>
  <c r="BY45"/>
  <c r="L208"/>
  <c r="J208"/>
  <c r="H262"/>
  <c r="H260"/>
  <c r="H258"/>
  <c r="H259"/>
  <c r="H264" s="1"/>
  <c r="G241"/>
  <c r="I241" s="1"/>
  <c r="G247"/>
  <c r="I247" s="1"/>
  <c r="G250"/>
  <c r="I250" s="1"/>
  <c r="G256"/>
  <c r="I256" s="1"/>
  <c r="G255"/>
  <c r="I255" s="1"/>
  <c r="G253"/>
  <c r="I253" s="1"/>
  <c r="G240"/>
  <c r="I240" s="1"/>
  <c r="G249"/>
  <c r="I249" s="1"/>
  <c r="G245"/>
  <c r="I245" s="1"/>
  <c r="G248"/>
  <c r="I248" s="1"/>
  <c r="G246"/>
  <c r="I246" s="1"/>
  <c r="G252"/>
  <c r="I252" s="1"/>
  <c r="G251"/>
  <c r="I251" s="1"/>
  <c r="G254"/>
  <c r="I254" s="1"/>
  <c r="G239"/>
  <c r="I239" s="1"/>
  <c r="G257" s="1"/>
  <c r="H261" s="1"/>
  <c r="L214"/>
  <c r="J214"/>
  <c r="L212"/>
  <c r="J212"/>
  <c r="L218"/>
  <c r="J218"/>
  <c r="J217"/>
  <c r="L217"/>
  <c r="L216"/>
  <c r="J216"/>
  <c r="J215"/>
  <c r="L215"/>
  <c r="L220"/>
  <c r="J220"/>
  <c r="J207"/>
  <c r="L207"/>
  <c r="J221"/>
  <c r="M203" s="1"/>
  <c r="G244"/>
  <c r="I244" s="1"/>
  <c r="F230"/>
  <c r="F231" s="1"/>
  <c r="B132"/>
  <c r="C131"/>
  <c r="J211"/>
  <c r="L211"/>
  <c r="J209"/>
  <c r="L209"/>
  <c r="L210"/>
  <c r="J210"/>
  <c r="J205"/>
  <c r="L205"/>
  <c r="L204"/>
  <c r="J204"/>
  <c r="J213"/>
  <c r="L213"/>
  <c r="J219"/>
  <c r="L219"/>
  <c r="L206"/>
  <c r="J206"/>
  <c r="AJ31"/>
  <c r="Q35" i="3" s="1"/>
  <c r="AJ30" i="2"/>
  <c r="L221"/>
  <c r="Y24" i="3" s="1"/>
  <c r="AD7" i="2"/>
  <c r="AM37"/>
  <c r="Q36" i="3" s="1"/>
  <c r="AM36" i="2"/>
  <c r="Q34" i="3" l="1"/>
  <c r="Q39"/>
  <c r="Q43"/>
  <c r="Q40"/>
  <c r="AJ32" i="2"/>
  <c r="AD14"/>
  <c r="Y13" i="3"/>
  <c r="AD19" i="2"/>
  <c r="Y18" i="3"/>
  <c r="AD21" i="2"/>
  <c r="Y20" i="3"/>
  <c r="AD23" i="2"/>
  <c r="Y22" i="3"/>
  <c r="AD17" i="2"/>
  <c r="Y16" i="3"/>
  <c r="AD13" i="2"/>
  <c r="Y12" i="3"/>
  <c r="AD15" i="2"/>
  <c r="Y14" i="3"/>
  <c r="AD24" i="2"/>
  <c r="Y23" i="3"/>
  <c r="AD20" i="2"/>
  <c r="Y19" i="3"/>
  <c r="AD22" i="2"/>
  <c r="Y21" i="3"/>
  <c r="AD16" i="2"/>
  <c r="Y15" i="3"/>
  <c r="AD18" i="2"/>
  <c r="Y17" i="3"/>
  <c r="AM39" i="2"/>
  <c r="AR25"/>
  <c r="M219"/>
  <c r="AT23" s="1"/>
  <c r="M213"/>
  <c r="AT17" s="1"/>
  <c r="M205"/>
  <c r="AT9" s="1"/>
  <c r="M209"/>
  <c r="AZ13" s="1"/>
  <c r="M211"/>
  <c r="EO48"/>
  <c r="Q41" i="3"/>
  <c r="AD10" i="2"/>
  <c r="FS10" s="1"/>
  <c r="Y9" i="3"/>
  <c r="AD8" i="2"/>
  <c r="FS8" s="1"/>
  <c r="Y7" i="3"/>
  <c r="AD9" i="2"/>
  <c r="FR9" s="1"/>
  <c r="Y8" i="3"/>
  <c r="BZ45" i="2"/>
  <c r="Q42" i="3"/>
  <c r="F232" i="2"/>
  <c r="Q27" i="3"/>
  <c r="AD11" i="2"/>
  <c r="FR11" s="1"/>
  <c r="Y10" i="3"/>
  <c r="AD12" i="2"/>
  <c r="FS12" s="1"/>
  <c r="Y11" i="3"/>
  <c r="M221" i="2"/>
  <c r="AZ7"/>
  <c r="AZ25" s="1"/>
  <c r="AT7"/>
  <c r="AT25" s="1"/>
  <c r="J261"/>
  <c r="K261" s="1"/>
  <c r="H263"/>
  <c r="AZ23"/>
  <c r="GA7"/>
  <c r="GA50" s="1"/>
  <c r="X31" i="3" s="1"/>
  <c r="FU7" i="2"/>
  <c r="FS7"/>
  <c r="FQ7"/>
  <c r="FO7"/>
  <c r="FM7"/>
  <c r="FK7"/>
  <c r="FI7"/>
  <c r="FG7"/>
  <c r="FE7"/>
  <c r="DG7"/>
  <c r="DE7"/>
  <c r="DC7"/>
  <c r="DA7"/>
  <c r="CY7"/>
  <c r="CW7"/>
  <c r="CU7"/>
  <c r="CS7"/>
  <c r="CQ7"/>
  <c r="CQ44" s="1"/>
  <c r="CQ45" s="1"/>
  <c r="BC7"/>
  <c r="BC25" s="1"/>
  <c r="AS7"/>
  <c r="AS25" s="1"/>
  <c r="X28" i="3" s="1"/>
  <c r="AK7" i="2"/>
  <c r="AK25" s="1"/>
  <c r="GD7"/>
  <c r="FT7"/>
  <c r="FR7"/>
  <c r="FP7"/>
  <c r="FN7"/>
  <c r="FL7"/>
  <c r="FJ7"/>
  <c r="FH7"/>
  <c r="FF7"/>
  <c r="FD7"/>
  <c r="FD46" s="1"/>
  <c r="FD47" s="1"/>
  <c r="FE47" s="1"/>
  <c r="DH7"/>
  <c r="DF7"/>
  <c r="DD7"/>
  <c r="DB7"/>
  <c r="CZ7"/>
  <c r="CX7"/>
  <c r="CV7"/>
  <c r="CT7"/>
  <c r="CR7"/>
  <c r="AN7"/>
  <c r="AN25" s="1"/>
  <c r="AH7"/>
  <c r="AH25" s="1"/>
  <c r="X33" i="3" s="1"/>
  <c r="AY7" i="2"/>
  <c r="AY25" s="1"/>
  <c r="X29" i="3" s="1"/>
  <c r="FU23" i="2"/>
  <c r="FS23"/>
  <c r="FQ23"/>
  <c r="FO23"/>
  <c r="FM23"/>
  <c r="FK23"/>
  <c r="FI23"/>
  <c r="FG23"/>
  <c r="FE23"/>
  <c r="DG23"/>
  <c r="DE23"/>
  <c r="DC23"/>
  <c r="DA23"/>
  <c r="CY23"/>
  <c r="CW23"/>
  <c r="CU23"/>
  <c r="CS23"/>
  <c r="CQ23"/>
  <c r="BC23"/>
  <c r="AY23"/>
  <c r="AS23"/>
  <c r="AK23"/>
  <c r="FT23"/>
  <c r="FR23"/>
  <c r="FP23"/>
  <c r="FN23"/>
  <c r="FL23"/>
  <c r="FJ23"/>
  <c r="FH23"/>
  <c r="FF23"/>
  <c r="FD23"/>
  <c r="DH23"/>
  <c r="DF23"/>
  <c r="DD23"/>
  <c r="DB23"/>
  <c r="CZ23"/>
  <c r="CX23"/>
  <c r="CV23"/>
  <c r="CT23"/>
  <c r="CR23"/>
  <c r="AN23"/>
  <c r="AH23"/>
  <c r="FU17"/>
  <c r="FS17"/>
  <c r="FQ17"/>
  <c r="FO17"/>
  <c r="FM17"/>
  <c r="FK17"/>
  <c r="FI17"/>
  <c r="FG17"/>
  <c r="FE17"/>
  <c r="DG17"/>
  <c r="DE17"/>
  <c r="DC17"/>
  <c r="DA17"/>
  <c r="CY17"/>
  <c r="CW17"/>
  <c r="CU17"/>
  <c r="CS17"/>
  <c r="CQ17"/>
  <c r="BC17"/>
  <c r="AY17"/>
  <c r="AS17"/>
  <c r="AK17"/>
  <c r="FT17"/>
  <c r="FR17"/>
  <c r="FP17"/>
  <c r="FN17"/>
  <c r="FL17"/>
  <c r="FJ17"/>
  <c r="FH17"/>
  <c r="FF17"/>
  <c r="FD17"/>
  <c r="DH17"/>
  <c r="DF17"/>
  <c r="DD17"/>
  <c r="DB17"/>
  <c r="CZ17"/>
  <c r="CX17"/>
  <c r="CV17"/>
  <c r="CT17"/>
  <c r="CR17"/>
  <c r="AN17"/>
  <c r="AH17"/>
  <c r="FT9"/>
  <c r="FP9"/>
  <c r="FL9"/>
  <c r="FH9"/>
  <c r="FD9"/>
  <c r="DF9"/>
  <c r="DB9"/>
  <c r="CX9"/>
  <c r="CT9"/>
  <c r="AN9"/>
  <c r="FU9"/>
  <c r="FQ9"/>
  <c r="FM9"/>
  <c r="FI9"/>
  <c r="FE9"/>
  <c r="DE9"/>
  <c r="DA9"/>
  <c r="CW9"/>
  <c r="CS9"/>
  <c r="BC9"/>
  <c r="AS9"/>
  <c r="FF46"/>
  <c r="FT13"/>
  <c r="FR13"/>
  <c r="FP13"/>
  <c r="FN13"/>
  <c r="FL13"/>
  <c r="FJ13"/>
  <c r="FH13"/>
  <c r="FF13"/>
  <c r="FD13"/>
  <c r="DH13"/>
  <c r="DF13"/>
  <c r="DD13"/>
  <c r="DB13"/>
  <c r="CZ13"/>
  <c r="CX13"/>
  <c r="CV13"/>
  <c r="CT13"/>
  <c r="CR13"/>
  <c r="AN13"/>
  <c r="AH13"/>
  <c r="FU13"/>
  <c r="FS13"/>
  <c r="FQ13"/>
  <c r="FO13"/>
  <c r="FM13"/>
  <c r="FK13"/>
  <c r="FI13"/>
  <c r="FG13"/>
  <c r="FE13"/>
  <c r="DG13"/>
  <c r="DE13"/>
  <c r="DC13"/>
  <c r="DA13"/>
  <c r="CY13"/>
  <c r="CW13"/>
  <c r="CU13"/>
  <c r="CS13"/>
  <c r="CQ13"/>
  <c r="BC13"/>
  <c r="AY13"/>
  <c r="AS13"/>
  <c r="AK13"/>
  <c r="FU15"/>
  <c r="FS15"/>
  <c r="FQ15"/>
  <c r="FO15"/>
  <c r="FM15"/>
  <c r="FK15"/>
  <c r="FI15"/>
  <c r="FG15"/>
  <c r="FE15"/>
  <c r="DG15"/>
  <c r="DE15"/>
  <c r="DC15"/>
  <c r="DA15"/>
  <c r="CY15"/>
  <c r="CW15"/>
  <c r="CU15"/>
  <c r="CS15"/>
  <c r="CQ15"/>
  <c r="BC15"/>
  <c r="AY15"/>
  <c r="AS15"/>
  <c r="AK15"/>
  <c r="FT15"/>
  <c r="FR15"/>
  <c r="FP15"/>
  <c r="FN15"/>
  <c r="FL15"/>
  <c r="FJ15"/>
  <c r="FH15"/>
  <c r="FF15"/>
  <c r="FD15"/>
  <c r="DH15"/>
  <c r="DF15"/>
  <c r="DD15"/>
  <c r="DB15"/>
  <c r="CZ15"/>
  <c r="CX15"/>
  <c r="CV15"/>
  <c r="CT15"/>
  <c r="CR15"/>
  <c r="AN15"/>
  <c r="AH15"/>
  <c r="AJ34"/>
  <c r="Q37" i="3" s="1"/>
  <c r="AJ33" i="2"/>
  <c r="FT24"/>
  <c r="FR24"/>
  <c r="FP24"/>
  <c r="FN24"/>
  <c r="FL24"/>
  <c r="FJ24"/>
  <c r="FH24"/>
  <c r="FF24"/>
  <c r="FD24"/>
  <c r="DH24"/>
  <c r="DF24"/>
  <c r="DD24"/>
  <c r="DB24"/>
  <c r="CZ24"/>
  <c r="CX24"/>
  <c r="CV24"/>
  <c r="CT24"/>
  <c r="CR24"/>
  <c r="AN24"/>
  <c r="AH24"/>
  <c r="FU24"/>
  <c r="FS24"/>
  <c r="FQ24"/>
  <c r="FO24"/>
  <c r="FM24"/>
  <c r="FK24"/>
  <c r="FI24"/>
  <c r="FG24"/>
  <c r="FE24"/>
  <c r="DG24"/>
  <c r="DE24"/>
  <c r="DC24"/>
  <c r="DA24"/>
  <c r="CY24"/>
  <c r="CW24"/>
  <c r="CU24"/>
  <c r="CS24"/>
  <c r="CQ24"/>
  <c r="BC24"/>
  <c r="AY24"/>
  <c r="AS24"/>
  <c r="AK24"/>
  <c r="FT20"/>
  <c r="FR20"/>
  <c r="FP20"/>
  <c r="FN20"/>
  <c r="FL20"/>
  <c r="FJ20"/>
  <c r="FH20"/>
  <c r="FF20"/>
  <c r="FD20"/>
  <c r="DH20"/>
  <c r="DF20"/>
  <c r="DD20"/>
  <c r="DB20"/>
  <c r="CZ20"/>
  <c r="CX20"/>
  <c r="CV20"/>
  <c r="CT20"/>
  <c r="CR20"/>
  <c r="AN20"/>
  <c r="AH20"/>
  <c r="FU20"/>
  <c r="FS20"/>
  <c r="FQ20"/>
  <c r="FO20"/>
  <c r="FM20"/>
  <c r="FK20"/>
  <c r="FI20"/>
  <c r="FG20"/>
  <c r="FE20"/>
  <c r="DG20"/>
  <c r="DE20"/>
  <c r="DC20"/>
  <c r="DA20"/>
  <c r="CY20"/>
  <c r="CW20"/>
  <c r="CU20"/>
  <c r="CS20"/>
  <c r="CQ20"/>
  <c r="BC20"/>
  <c r="AY20"/>
  <c r="AS20"/>
  <c r="AK20"/>
  <c r="FT22"/>
  <c r="FR22"/>
  <c r="FP22"/>
  <c r="FN22"/>
  <c r="FL22"/>
  <c r="FJ22"/>
  <c r="FH22"/>
  <c r="FF22"/>
  <c r="FD22"/>
  <c r="DH22"/>
  <c r="DF22"/>
  <c r="DD22"/>
  <c r="DB22"/>
  <c r="CZ22"/>
  <c r="CX22"/>
  <c r="CV22"/>
  <c r="CT22"/>
  <c r="CR22"/>
  <c r="AN22"/>
  <c r="AH22"/>
  <c r="FU22"/>
  <c r="FS22"/>
  <c r="FQ22"/>
  <c r="FO22"/>
  <c r="FM22"/>
  <c r="FK22"/>
  <c r="FI22"/>
  <c r="FG22"/>
  <c r="FE22"/>
  <c r="DG22"/>
  <c r="DE22"/>
  <c r="DC22"/>
  <c r="DA22"/>
  <c r="CY22"/>
  <c r="CW22"/>
  <c r="CU22"/>
  <c r="CS22"/>
  <c r="CQ22"/>
  <c r="BC22"/>
  <c r="AY22"/>
  <c r="AS22"/>
  <c r="AK22"/>
  <c r="FT16"/>
  <c r="FR16"/>
  <c r="FP16"/>
  <c r="FN16"/>
  <c r="FL16"/>
  <c r="FJ16"/>
  <c r="FH16"/>
  <c r="FF16"/>
  <c r="FD16"/>
  <c r="DH16"/>
  <c r="DF16"/>
  <c r="DD16"/>
  <c r="DB16"/>
  <c r="CZ16"/>
  <c r="CX16"/>
  <c r="CV16"/>
  <c r="CT16"/>
  <c r="CR16"/>
  <c r="AN16"/>
  <c r="AH16"/>
  <c r="FU16"/>
  <c r="FS16"/>
  <c r="FQ16"/>
  <c r="FO16"/>
  <c r="FM16"/>
  <c r="FK16"/>
  <c r="FI16"/>
  <c r="FG16"/>
  <c r="FE16"/>
  <c r="DG16"/>
  <c r="DE16"/>
  <c r="DC16"/>
  <c r="DA16"/>
  <c r="CY16"/>
  <c r="CW16"/>
  <c r="CU16"/>
  <c r="CS16"/>
  <c r="CQ16"/>
  <c r="BC16"/>
  <c r="AY16"/>
  <c r="AS16"/>
  <c r="AK16"/>
  <c r="FT18"/>
  <c r="FR18"/>
  <c r="FP18"/>
  <c r="FN18"/>
  <c r="FL18"/>
  <c r="FJ18"/>
  <c r="FH18"/>
  <c r="FF18"/>
  <c r="FD18"/>
  <c r="DH18"/>
  <c r="DF18"/>
  <c r="DD18"/>
  <c r="DB18"/>
  <c r="CZ18"/>
  <c r="CX18"/>
  <c r="CV18"/>
  <c r="CT18"/>
  <c r="CR18"/>
  <c r="AN18"/>
  <c r="AH18"/>
  <c r="FU18"/>
  <c r="FS18"/>
  <c r="FQ18"/>
  <c r="FO18"/>
  <c r="FM18"/>
  <c r="FK18"/>
  <c r="FI18"/>
  <c r="FG18"/>
  <c r="FE18"/>
  <c r="DG18"/>
  <c r="DE18"/>
  <c r="DC18"/>
  <c r="DA18"/>
  <c r="CY18"/>
  <c r="CW18"/>
  <c r="CU18"/>
  <c r="CS18"/>
  <c r="CQ18"/>
  <c r="BC18"/>
  <c r="AY18"/>
  <c r="AS18"/>
  <c r="AK18"/>
  <c r="FU12"/>
  <c r="FQ12"/>
  <c r="FM12"/>
  <c r="FI12"/>
  <c r="FE12"/>
  <c r="DE12"/>
  <c r="DA12"/>
  <c r="CW12"/>
  <c r="CS12"/>
  <c r="BC12"/>
  <c r="AS12"/>
  <c r="FT12"/>
  <c r="FP12"/>
  <c r="FL12"/>
  <c r="FH12"/>
  <c r="FD12"/>
  <c r="DF12"/>
  <c r="DB12"/>
  <c r="CX12"/>
  <c r="CT12"/>
  <c r="AN12"/>
  <c r="FI46"/>
  <c r="M206"/>
  <c r="M204"/>
  <c r="M210"/>
  <c r="M207"/>
  <c r="M215"/>
  <c r="M217"/>
  <c r="FU10"/>
  <c r="FQ10"/>
  <c r="FM10"/>
  <c r="FI10"/>
  <c r="FE10"/>
  <c r="DE10"/>
  <c r="DA10"/>
  <c r="CW10"/>
  <c r="CS10"/>
  <c r="BC10"/>
  <c r="AS10"/>
  <c r="FT10"/>
  <c r="FP10"/>
  <c r="FL10"/>
  <c r="FH10"/>
  <c r="FD10"/>
  <c r="DF10"/>
  <c r="DB10"/>
  <c r="CX10"/>
  <c r="CT10"/>
  <c r="AN10"/>
  <c r="FG46"/>
  <c r="AZ17"/>
  <c r="FU8"/>
  <c r="FQ8"/>
  <c r="FM8"/>
  <c r="FI8"/>
  <c r="FE8"/>
  <c r="DE8"/>
  <c r="DA8"/>
  <c r="CW8"/>
  <c r="CS8"/>
  <c r="BC8"/>
  <c r="AS8"/>
  <c r="FT8"/>
  <c r="FP8"/>
  <c r="FL8"/>
  <c r="FH8"/>
  <c r="FD8"/>
  <c r="DF8"/>
  <c r="DB8"/>
  <c r="CX8"/>
  <c r="CT8"/>
  <c r="AN8"/>
  <c r="FE46"/>
  <c r="FT14"/>
  <c r="FR14"/>
  <c r="FP14"/>
  <c r="FN14"/>
  <c r="FL14"/>
  <c r="FJ14"/>
  <c r="FH14"/>
  <c r="FF14"/>
  <c r="FD14"/>
  <c r="DH14"/>
  <c r="DF14"/>
  <c r="DD14"/>
  <c r="DB14"/>
  <c r="CZ14"/>
  <c r="CX14"/>
  <c r="CV14"/>
  <c r="CT14"/>
  <c r="CR14"/>
  <c r="FU14"/>
  <c r="FS14"/>
  <c r="FQ14"/>
  <c r="FO14"/>
  <c r="FM14"/>
  <c r="FK14"/>
  <c r="FI14"/>
  <c r="FG14"/>
  <c r="FE14"/>
  <c r="DG14"/>
  <c r="DE14"/>
  <c r="DC14"/>
  <c r="DA14"/>
  <c r="CY14"/>
  <c r="CW14"/>
  <c r="CU14"/>
  <c r="CS14"/>
  <c r="CQ14"/>
  <c r="BC14"/>
  <c r="AY14"/>
  <c r="AS14"/>
  <c r="AK14"/>
  <c r="AN14"/>
  <c r="AH14"/>
  <c r="AZ15"/>
  <c r="AT15"/>
  <c r="B133"/>
  <c r="C132"/>
  <c r="FT11"/>
  <c r="FP11"/>
  <c r="FL11"/>
  <c r="FH11"/>
  <c r="FD11"/>
  <c r="DF11"/>
  <c r="DB11"/>
  <c r="CX11"/>
  <c r="CT11"/>
  <c r="AN11"/>
  <c r="FU11"/>
  <c r="FQ11"/>
  <c r="FM11"/>
  <c r="FI11"/>
  <c r="FE11"/>
  <c r="DE11"/>
  <c r="DA11"/>
  <c r="CW11"/>
  <c r="CS11"/>
  <c r="BC11"/>
  <c r="AS11"/>
  <c r="FH46"/>
  <c r="FT19"/>
  <c r="FR19"/>
  <c r="FP19"/>
  <c r="FN19"/>
  <c r="FL19"/>
  <c r="FS19"/>
  <c r="FO19"/>
  <c r="FK19"/>
  <c r="FI19"/>
  <c r="FG19"/>
  <c r="FE19"/>
  <c r="DG19"/>
  <c r="DE19"/>
  <c r="DC19"/>
  <c r="DA19"/>
  <c r="CY19"/>
  <c r="CW19"/>
  <c r="CU19"/>
  <c r="CS19"/>
  <c r="CQ19"/>
  <c r="BC19"/>
  <c r="AY19"/>
  <c r="AS19"/>
  <c r="AK19"/>
  <c r="FU19"/>
  <c r="FQ19"/>
  <c r="FM19"/>
  <c r="FJ19"/>
  <c r="FH19"/>
  <c r="FF19"/>
  <c r="FD19"/>
  <c r="DH19"/>
  <c r="DF19"/>
  <c r="DD19"/>
  <c r="DB19"/>
  <c r="CZ19"/>
  <c r="CX19"/>
  <c r="CV19"/>
  <c r="CT19"/>
  <c r="CR19"/>
  <c r="AN19"/>
  <c r="AH19"/>
  <c r="FU21"/>
  <c r="FS21"/>
  <c r="FQ21"/>
  <c r="FO21"/>
  <c r="FM21"/>
  <c r="FK21"/>
  <c r="FI21"/>
  <c r="FG21"/>
  <c r="FE21"/>
  <c r="DG21"/>
  <c r="DE21"/>
  <c r="DC21"/>
  <c r="DA21"/>
  <c r="CY21"/>
  <c r="CW21"/>
  <c r="CU21"/>
  <c r="CS21"/>
  <c r="CQ21"/>
  <c r="BC21"/>
  <c r="AY21"/>
  <c r="AS21"/>
  <c r="AK21"/>
  <c r="FT21"/>
  <c r="FR21"/>
  <c r="FP21"/>
  <c r="FN21"/>
  <c r="FL21"/>
  <c r="FJ21"/>
  <c r="FH21"/>
  <c r="FF21"/>
  <c r="FD21"/>
  <c r="DH21"/>
  <c r="DF21"/>
  <c r="DD21"/>
  <c r="DB21"/>
  <c r="CZ21"/>
  <c r="CX21"/>
  <c r="CV21"/>
  <c r="CT21"/>
  <c r="CR21"/>
  <c r="AN21"/>
  <c r="AH21"/>
  <c r="M220"/>
  <c r="M216"/>
  <c r="M218"/>
  <c r="M212"/>
  <c r="M214"/>
  <c r="M208"/>
  <c r="FO46" l="1"/>
  <c r="DB44"/>
  <c r="DA44"/>
  <c r="FN46"/>
  <c r="CU44"/>
  <c r="AK11"/>
  <c r="AY11"/>
  <c r="CQ11"/>
  <c r="CU11"/>
  <c r="CY11"/>
  <c r="DC11"/>
  <c r="DG11"/>
  <c r="FG11"/>
  <c r="FK11"/>
  <c r="FO11"/>
  <c r="FS11"/>
  <c r="AH11"/>
  <c r="CR11"/>
  <c r="CV11"/>
  <c r="CZ11"/>
  <c r="DD11"/>
  <c r="DH11"/>
  <c r="FF11"/>
  <c r="FJ11"/>
  <c r="FN11"/>
  <c r="CR44"/>
  <c r="AH8"/>
  <c r="CR8"/>
  <c r="CV8"/>
  <c r="CZ8"/>
  <c r="DD8"/>
  <c r="DH8"/>
  <c r="FF8"/>
  <c r="FJ8"/>
  <c r="FN8"/>
  <c r="FR8"/>
  <c r="AK8"/>
  <c r="AY8"/>
  <c r="CQ8"/>
  <c r="CU8"/>
  <c r="CY8"/>
  <c r="DC8"/>
  <c r="DG8"/>
  <c r="FG8"/>
  <c r="FK8"/>
  <c r="FO8"/>
  <c r="CT44"/>
  <c r="AH10"/>
  <c r="CR10"/>
  <c r="CV10"/>
  <c r="CZ10"/>
  <c r="DD10"/>
  <c r="DH10"/>
  <c r="FF10"/>
  <c r="FJ10"/>
  <c r="FN10"/>
  <c r="FR10"/>
  <c r="AK10"/>
  <c r="AY10"/>
  <c r="CQ10"/>
  <c r="CU10"/>
  <c r="CY10"/>
  <c r="DC10"/>
  <c r="DG10"/>
  <c r="FG10"/>
  <c r="FK10"/>
  <c r="FO10"/>
  <c r="CV44"/>
  <c r="AH12"/>
  <c r="CR12"/>
  <c r="CV12"/>
  <c r="CZ12"/>
  <c r="DD12"/>
  <c r="DH12"/>
  <c r="FF12"/>
  <c r="FJ12"/>
  <c r="FN12"/>
  <c r="FR12"/>
  <c r="AK12"/>
  <c r="AY12"/>
  <c r="CQ12"/>
  <c r="CU12"/>
  <c r="CY12"/>
  <c r="DC12"/>
  <c r="DG12"/>
  <c r="FG12"/>
  <c r="FK12"/>
  <c r="FO12"/>
  <c r="CS44"/>
  <c r="AK9"/>
  <c r="AY9"/>
  <c r="CQ9"/>
  <c r="CU9"/>
  <c r="CY9"/>
  <c r="DC9"/>
  <c r="DG9"/>
  <c r="FG9"/>
  <c r="FK9"/>
  <c r="FO9"/>
  <c r="FS9"/>
  <c r="AH9"/>
  <c r="CR9"/>
  <c r="CV9"/>
  <c r="CZ9"/>
  <c r="DD9"/>
  <c r="DH9"/>
  <c r="FF9"/>
  <c r="FJ9"/>
  <c r="FN9"/>
  <c r="CZ44"/>
  <c r="FM46"/>
  <c r="CY44"/>
  <c r="FL46"/>
  <c r="CW44"/>
  <c r="FJ46"/>
  <c r="CX44"/>
  <c r="FK46"/>
  <c r="AZ9"/>
  <c r="AT13"/>
  <c r="GD24"/>
  <c r="GD23"/>
  <c r="GD22"/>
  <c r="GD21"/>
  <c r="GD20"/>
  <c r="GD19"/>
  <c r="GD18"/>
  <c r="GD17"/>
  <c r="GD16"/>
  <c r="GD15"/>
  <c r="GD14"/>
  <c r="GD13"/>
  <c r="GD12"/>
  <c r="GD11"/>
  <c r="GD10"/>
  <c r="GD9"/>
  <c r="GD8"/>
  <c r="FF47"/>
  <c r="X40" i="3"/>
  <c r="CR45" i="2"/>
  <c r="X42" i="3"/>
  <c r="AZ12" i="2"/>
  <c r="AT12"/>
  <c r="AZ20"/>
  <c r="AT20"/>
  <c r="AZ18"/>
  <c r="AT18"/>
  <c r="AZ22"/>
  <c r="AT22"/>
  <c r="AZ24"/>
  <c r="AT24"/>
  <c r="B134"/>
  <c r="C133"/>
  <c r="AZ19"/>
  <c r="AT19"/>
  <c r="AZ14"/>
  <c r="AT14"/>
  <c r="AZ10"/>
  <c r="AT10"/>
  <c r="G221"/>
  <c r="H225" s="1"/>
  <c r="AH26"/>
  <c r="X34" i="3" s="1"/>
  <c r="AH27" i="2"/>
  <c r="GD50"/>
  <c r="X32" i="3" s="1"/>
  <c r="AZ16" i="2"/>
  <c r="AT16"/>
  <c r="AZ21"/>
  <c r="AT21"/>
  <c r="AZ11"/>
  <c r="AT11"/>
  <c r="AZ8"/>
  <c r="AT8"/>
  <c r="AN35"/>
  <c r="AN38"/>
  <c r="AK29"/>
  <c r="AK32"/>
  <c r="BC43"/>
  <c r="X44" i="3" s="1"/>
  <c r="BC41" i="2"/>
  <c r="GG29"/>
  <c r="GG41" s="1"/>
  <c r="GG42" s="1"/>
  <c r="GG43" s="1"/>
  <c r="BC42" l="1"/>
  <c r="X43" i="3"/>
  <c r="AH28" i="2"/>
  <c r="X39" i="3"/>
  <c r="AK31" i="2"/>
  <c r="X35" i="3" s="1"/>
  <c r="AK30" i="2"/>
  <c r="AN37"/>
  <c r="X36" i="3" s="1"/>
  <c r="AN36" i="2"/>
  <c r="I225"/>
  <c r="J225" s="1"/>
  <c r="H227"/>
  <c r="H230"/>
  <c r="H231" s="1"/>
  <c r="AK34"/>
  <c r="X37" i="3" s="1"/>
  <c r="AK33" i="2"/>
  <c r="AN40"/>
  <c r="X38" i="3" s="1"/>
  <c r="AN39" i="2"/>
  <c r="FF48"/>
  <c r="B135"/>
  <c r="C134"/>
  <c r="H232" l="1"/>
  <c r="X27" i="3"/>
  <c r="FG48" i="2"/>
  <c r="X41" i="3"/>
  <c r="C135" i="2"/>
  <c r="B136"/>
  <c r="C136" l="1"/>
  <c r="B137"/>
  <c r="C137" l="1"/>
  <c r="B138"/>
  <c r="C138" l="1"/>
  <c r="B139"/>
  <c r="C139" l="1"/>
  <c r="B140"/>
  <c r="C140" l="1"/>
  <c r="B141"/>
  <c r="C141" l="1"/>
  <c r="B142"/>
  <c r="C142" l="1"/>
  <c r="B143"/>
  <c r="C143" l="1"/>
  <c r="B144"/>
  <c r="C144" l="1"/>
  <c r="B145"/>
  <c r="C145" l="1"/>
  <c r="B146"/>
  <c r="C146" l="1"/>
  <c r="B147"/>
  <c r="C147" l="1"/>
  <c r="B148"/>
  <c r="C148" l="1"/>
  <c r="B149"/>
  <c r="C149" l="1"/>
  <c r="B150"/>
  <c r="C150" l="1"/>
  <c r="B151"/>
  <c r="C151" l="1"/>
  <c r="B152"/>
  <c r="C152" l="1"/>
  <c r="B153"/>
  <c r="C153" l="1"/>
  <c r="B154"/>
  <c r="C154" l="1"/>
  <c r="B155"/>
  <c r="C155" l="1"/>
  <c r="B156"/>
  <c r="C156" l="1"/>
  <c r="B157"/>
  <c r="C157" l="1"/>
  <c r="B158"/>
  <c r="C158" l="1"/>
  <c r="B159"/>
  <c r="C159" l="1"/>
  <c r="B160"/>
  <c r="C160" l="1"/>
  <c r="B161"/>
  <c r="C161" l="1"/>
  <c r="B162"/>
  <c r="C162" l="1"/>
  <c r="B163"/>
  <c r="C163" l="1"/>
  <c r="B164"/>
  <c r="C164" l="1"/>
  <c r="B165"/>
  <c r="C165" l="1"/>
  <c r="B166"/>
  <c r="C166" l="1"/>
  <c r="B167"/>
  <c r="C167" l="1"/>
  <c r="B168"/>
  <c r="C168" l="1"/>
  <c r="B169"/>
  <c r="C169" l="1"/>
  <c r="B170"/>
  <c r="C170" l="1"/>
  <c r="B171"/>
  <c r="C171" l="1"/>
  <c r="B172"/>
  <c r="C172" l="1"/>
  <c r="B173"/>
  <c r="C173" l="1"/>
  <c r="B174"/>
  <c r="C174" l="1"/>
  <c r="B175"/>
  <c r="C175" l="1"/>
  <c r="B176"/>
  <c r="C176" l="1"/>
  <c r="B177"/>
  <c r="C177" l="1"/>
  <c r="B178"/>
  <c r="C178" l="1"/>
  <c r="B179"/>
  <c r="C179" l="1"/>
  <c r="B180"/>
  <c r="C180" l="1"/>
  <c r="B181"/>
  <c r="C181" l="1"/>
  <c r="B182"/>
  <c r="C182" l="1"/>
  <c r="B183"/>
  <c r="C183" l="1"/>
  <c r="B184"/>
  <c r="C184" l="1"/>
  <c r="B185"/>
  <c r="C185" l="1"/>
  <c r="B186"/>
  <c r="C186" l="1"/>
  <c r="B187"/>
  <c r="C187" s="1"/>
</calcChain>
</file>

<file path=xl/comments1.xml><?xml version="1.0" encoding="utf-8"?>
<comments xmlns="http://schemas.openxmlformats.org/spreadsheetml/2006/main">
  <authors>
    <author>Ronak A. Patel</author>
  </authors>
  <commentList>
    <comment ref="D14" authorId="0">
      <text>
        <r>
          <rPr>
            <b/>
            <sz val="8"/>
            <color indexed="81"/>
            <rFont val="Tahoma"/>
            <family val="2"/>
          </rPr>
          <t>Ronak A. Patel:</t>
        </r>
        <r>
          <rPr>
            <sz val="8"/>
            <color indexed="81"/>
            <rFont val="Tahoma"/>
            <family val="2"/>
          </rPr>
          <t xml:space="preserve">
Value from PSA Price Build-Up or PSA Sizing Simulation.</t>
        </r>
      </text>
    </comment>
    <comment ref="D15" authorId="0">
      <text>
        <r>
          <rPr>
            <b/>
            <sz val="8"/>
            <color indexed="81"/>
            <rFont val="Tahoma"/>
            <family val="2"/>
          </rPr>
          <t>Ronak A. Patel:</t>
        </r>
        <r>
          <rPr>
            <sz val="8"/>
            <color indexed="81"/>
            <rFont val="Tahoma"/>
            <family val="2"/>
          </rPr>
          <t xml:space="preserve">
Value from PSA Price Build-Up or PSA Sizing Simulation.</t>
        </r>
      </text>
    </comment>
    <comment ref="D16" authorId="0">
      <text>
        <r>
          <rPr>
            <b/>
            <sz val="8"/>
            <color indexed="81"/>
            <rFont val="Tahoma"/>
            <family val="2"/>
          </rPr>
          <t>Ronak A. Patel:</t>
        </r>
        <r>
          <rPr>
            <sz val="8"/>
            <color indexed="81"/>
            <rFont val="Tahoma"/>
            <family val="2"/>
          </rPr>
          <t xml:space="preserve">
Enter total backpressure in psig.</t>
        </r>
      </text>
    </comment>
    <comment ref="D17" authorId="0">
      <text>
        <r>
          <rPr>
            <b/>
            <sz val="8"/>
            <color indexed="81"/>
            <rFont val="Tahoma"/>
            <family val="2"/>
          </rPr>
          <t>Ronak A. Patel:</t>
        </r>
        <r>
          <rPr>
            <sz val="8"/>
            <color indexed="81"/>
            <rFont val="Tahoma"/>
            <family val="2"/>
          </rPr>
          <t xml:space="preserve">
Value from Sizing Simulation. Refer to  GSG-PI-CL-003-01.xlsx</t>
        </r>
      </text>
    </comment>
    <comment ref="D18" authorId="0">
      <text>
        <r>
          <rPr>
            <b/>
            <sz val="8"/>
            <color indexed="81"/>
            <rFont val="Tahoma"/>
            <family val="2"/>
          </rPr>
          <t>Ronak A. Patel:</t>
        </r>
        <r>
          <rPr>
            <sz val="8"/>
            <color indexed="81"/>
            <rFont val="Tahoma"/>
            <family val="2"/>
          </rPr>
          <t xml:space="preserve">
Value from Sizing Simulation. Refer to  GSG-PI-CL-003-01.xlsx</t>
        </r>
      </text>
    </comment>
    <comment ref="D19" authorId="0">
      <text>
        <r>
          <rPr>
            <b/>
            <sz val="8"/>
            <color indexed="81"/>
            <rFont val="Tahoma"/>
            <family val="2"/>
          </rPr>
          <t>Ronak A. Patel:</t>
        </r>
        <r>
          <rPr>
            <sz val="8"/>
            <color indexed="81"/>
            <rFont val="Tahoma"/>
            <family val="2"/>
          </rPr>
          <t xml:space="preserve">
Value = 1 for Conventional and Pilot Operated PSV. Refer to API 520 for Bellow design value.</t>
        </r>
      </text>
    </comment>
    <comment ref="D20" authorId="0">
      <text>
        <r>
          <rPr>
            <b/>
            <sz val="8"/>
            <color indexed="81"/>
            <rFont val="Tahoma"/>
            <family val="2"/>
          </rPr>
          <t>Ronak A. Patel:</t>
        </r>
        <r>
          <rPr>
            <sz val="8"/>
            <color indexed="81"/>
            <rFont val="Tahoma"/>
            <family val="2"/>
          </rPr>
          <t xml:space="preserve">
Value of 1 used when no rupture disk is present.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>Ronak A. Patel:</t>
        </r>
        <r>
          <rPr>
            <sz val="8"/>
            <color indexed="81"/>
            <rFont val="Tahoma"/>
            <family val="2"/>
          </rPr>
          <t xml:space="preserve">
Value of .975 used for initial sizing, final manufacturer value should be compared to ensure adequate sizing.</t>
        </r>
      </text>
    </comment>
    <comment ref="D22" authorId="0">
      <text>
        <r>
          <rPr>
            <b/>
            <sz val="8"/>
            <color indexed="81"/>
            <rFont val="Tahoma"/>
            <family val="2"/>
          </rPr>
          <t>Ronak A. Patel:</t>
        </r>
        <r>
          <rPr>
            <sz val="8"/>
            <color indexed="81"/>
            <rFont val="Tahoma"/>
            <family val="2"/>
          </rPr>
          <t xml:space="preserve">
Typically a value of 1 is a valid assumption unless pressures exceed 1ksig or have significant amounts of  heavy hydrocarbons</t>
        </r>
      </text>
    </comment>
    <comment ref="D23" authorId="0">
      <text>
        <r>
          <rPr>
            <b/>
            <sz val="8"/>
            <color indexed="81"/>
            <rFont val="Tahoma"/>
            <family val="2"/>
          </rPr>
          <t>Ronak A. Patel:</t>
        </r>
        <r>
          <rPr>
            <sz val="8"/>
            <color indexed="81"/>
            <rFont val="Tahoma"/>
            <family val="2"/>
          </rPr>
          <t xml:space="preserve">
Assumes 10% overpressure allowance for Non-Fire Case Only!</t>
        </r>
      </text>
    </comment>
    <comment ref="D25" authorId="0">
      <text>
        <r>
          <rPr>
            <b/>
            <sz val="8"/>
            <color indexed="81"/>
            <rFont val="Tahoma"/>
            <family val="2"/>
          </rPr>
          <t>Ronak A. Patel:</t>
        </r>
        <r>
          <rPr>
            <sz val="8"/>
            <color indexed="81"/>
            <rFont val="Tahoma"/>
            <family val="2"/>
          </rPr>
          <t xml:space="preserve">
Maximum Blocked Flow Case based on Off-Gas Drum or Adsorber Vessel.</t>
        </r>
      </text>
    </comment>
    <comment ref="D26" authorId="0">
      <text>
        <r>
          <rPr>
            <b/>
            <sz val="8"/>
            <color indexed="81"/>
            <rFont val="Tahoma"/>
            <family val="2"/>
          </rPr>
          <t>Ronak A. Patel:</t>
        </r>
        <r>
          <rPr>
            <sz val="8"/>
            <color indexed="81"/>
            <rFont val="Tahoma"/>
            <family val="2"/>
          </rPr>
          <t xml:space="preserve">
If Pcf &gt; Pb then critical flow, if Pcf &lt; Pb then sub-critical flow.</t>
        </r>
      </text>
    </comment>
  </commentList>
</comments>
</file>

<file path=xl/sharedStrings.xml><?xml version="1.0" encoding="utf-8"?>
<sst xmlns="http://schemas.openxmlformats.org/spreadsheetml/2006/main" count="1209" uniqueCount="598">
  <si>
    <t>PROCESS DATASHEET</t>
  </si>
  <si>
    <t>PROCESS CONDITIONS</t>
  </si>
  <si>
    <t>kg/kgmole</t>
  </si>
  <si>
    <t>BTU/scf</t>
  </si>
  <si>
    <t>K</t>
  </si>
  <si>
    <t>bara</t>
  </si>
  <si>
    <t>cm3/gmole</t>
  </si>
  <si>
    <t>-</t>
  </si>
  <si>
    <t>debeyes</t>
  </si>
  <si>
    <t>J/gmole K</t>
  </si>
  <si>
    <t>J/gmole K2</t>
  </si>
  <si>
    <t>J/gmole K3</t>
  </si>
  <si>
    <t>J/gmole K4</t>
  </si>
  <si>
    <t>W/m K</t>
  </si>
  <si>
    <t>W/m K2</t>
  </si>
  <si>
    <t>W/m K3</t>
  </si>
  <si>
    <t>W/m K4</t>
  </si>
  <si>
    <t>J/gmole</t>
  </si>
  <si>
    <t>ID</t>
  </si>
  <si>
    <t>Formula</t>
  </si>
  <si>
    <t>MW</t>
  </si>
  <si>
    <t>HHV</t>
  </si>
  <si>
    <t>C2+ HC</t>
  </si>
  <si>
    <t>C5+ HC</t>
  </si>
  <si>
    <t>Tcrit</t>
  </si>
  <si>
    <t>Pcrit</t>
  </si>
  <si>
    <t>Vcrit</t>
  </si>
  <si>
    <t>Zcrit</t>
  </si>
  <si>
    <t>Accentric factor</t>
  </si>
  <si>
    <t>Dipole moment</t>
  </si>
  <si>
    <t>Cp term 1</t>
  </si>
  <si>
    <t>Cp term 2</t>
  </si>
  <si>
    <t>Cp term 3</t>
  </si>
  <si>
    <t>Cp term 4</t>
  </si>
  <si>
    <t>k term 1</t>
  </si>
  <si>
    <t>k term 2</t>
  </si>
  <si>
    <t>k term 3</t>
  </si>
  <si>
    <t>k term 4</t>
  </si>
  <si>
    <t>Association factor for viscosity</t>
  </si>
  <si>
    <t>LHV</t>
  </si>
  <si>
    <t>Ref enthalpy</t>
  </si>
  <si>
    <t>2 METHYL PENTANE - C6H14</t>
  </si>
  <si>
    <t>C6H14</t>
  </si>
  <si>
    <t>ACETYLENE - C2H2</t>
  </si>
  <si>
    <t>C2H2</t>
  </si>
  <si>
    <t>AMMONIA - NH3</t>
  </si>
  <si>
    <t>NH3</t>
  </si>
  <si>
    <t>ARGON - Ar</t>
  </si>
  <si>
    <t>Ar</t>
  </si>
  <si>
    <t>BENZENE - C6H6</t>
  </si>
  <si>
    <t>C6H6</t>
  </si>
  <si>
    <t>CARBON DIOXIDE - CO2</t>
  </si>
  <si>
    <t>CO2</t>
  </si>
  <si>
    <t>CARBON MONOXIDE - CO</t>
  </si>
  <si>
    <t>CO</t>
  </si>
  <si>
    <t>CHLORINE - Cl2</t>
  </si>
  <si>
    <t>Cl2</t>
  </si>
  <si>
    <t>CYCLOBUTANE - C4H8</t>
  </si>
  <si>
    <t>C4H8</t>
  </si>
  <si>
    <t>CYCLOHEXANE - C6H12</t>
  </si>
  <si>
    <t>C6H12</t>
  </si>
  <si>
    <t>CYCLOPENTANE - C5H10</t>
  </si>
  <si>
    <t>C5H10</t>
  </si>
  <si>
    <t>CYCLOPROPANE - C3H6</t>
  </si>
  <si>
    <t>C3H6</t>
  </si>
  <si>
    <t>ETHANE - C2H6</t>
  </si>
  <si>
    <t>C2H6</t>
  </si>
  <si>
    <t>ETHYL BENZENE - C8H10</t>
  </si>
  <si>
    <t>C8H10</t>
  </si>
  <si>
    <t>ETHYLENE - C2H4</t>
  </si>
  <si>
    <t>C2H4</t>
  </si>
  <si>
    <t>HELIUM - He</t>
  </si>
  <si>
    <t>He</t>
  </si>
  <si>
    <t>HEPTANE - C7H16</t>
  </si>
  <si>
    <t>C7H16</t>
  </si>
  <si>
    <t>HEXANE - C6H14</t>
  </si>
  <si>
    <t>n-C6H14</t>
  </si>
  <si>
    <t>HYDROGEN - H2</t>
  </si>
  <si>
    <t>H2</t>
  </si>
  <si>
    <t>HYDROGEN SULFIDE - H2S</t>
  </si>
  <si>
    <t>H2S</t>
  </si>
  <si>
    <t>ISO BUTANE - iC4H10</t>
  </si>
  <si>
    <t>i-C4H10</t>
  </si>
  <si>
    <t>ISO PENTANE - iC5H12</t>
  </si>
  <si>
    <t>i-C5H12</t>
  </si>
  <si>
    <t>METHANE - CH4</t>
  </si>
  <si>
    <t>CH4</t>
  </si>
  <si>
    <t>METHYL CYCLO PENTANE - C6H12</t>
  </si>
  <si>
    <t>NITROGEN - N2</t>
  </si>
  <si>
    <t>N2</t>
  </si>
  <si>
    <t>NORMAL BUTANE - nC4H10</t>
  </si>
  <si>
    <t>n-C4H10</t>
  </si>
  <si>
    <t>NORMAL PENTANE - nC5H12</t>
  </si>
  <si>
    <t>n-C5H12</t>
  </si>
  <si>
    <t>OCTANE - C8H18</t>
  </si>
  <si>
    <t>C8H18</t>
  </si>
  <si>
    <t>OXYGEN - O2</t>
  </si>
  <si>
    <t>O2</t>
  </si>
  <si>
    <t>PROPANE - C3H8</t>
  </si>
  <si>
    <t>C3H8</t>
  </si>
  <si>
    <t>PROPYLENE - C3H6</t>
  </si>
  <si>
    <t>STYRENE - C8H8</t>
  </si>
  <si>
    <t>C8H8</t>
  </si>
  <si>
    <t>TOLUENE - C7H8</t>
  </si>
  <si>
    <t>C7H8</t>
  </si>
  <si>
    <t>Water vapor feed units</t>
  </si>
  <si>
    <t>% SATURATED</t>
  </si>
  <si>
    <t>VOL %</t>
  </si>
  <si>
    <t>PPMV</t>
  </si>
  <si>
    <t>Feed units</t>
  </si>
  <si>
    <t>WT %</t>
  </si>
  <si>
    <t>Water vapor product composition selector</t>
  </si>
  <si>
    <t>°C DEW POINT</t>
  </si>
  <si>
    <t>°F DEW POINT</t>
  </si>
  <si>
    <t>VOL % MIN</t>
  </si>
  <si>
    <t>VOL % MAX</t>
  </si>
  <si>
    <t>PPMV MIN</t>
  </si>
  <si>
    <t>PPMV MAX</t>
  </si>
  <si>
    <t>Product composition selector</t>
  </si>
  <si>
    <t>MINIMUM</t>
  </si>
  <si>
    <t>MAXIMUM</t>
  </si>
  <si>
    <t>BALANCE</t>
  </si>
  <si>
    <t>Final composition to view selector</t>
  </si>
  <si>
    <t>Feed flow units</t>
  </si>
  <si>
    <r>
      <t>SCFH (60</t>
    </r>
    <r>
      <rPr>
        <sz val="10"/>
        <color theme="1"/>
        <rFont val="Calibri"/>
        <family val="2"/>
      </rPr>
      <t>°F)</t>
    </r>
  </si>
  <si>
    <t>NM3/H (0°C)</t>
  </si>
  <si>
    <t>MMSCFD (60°F)</t>
  </si>
  <si>
    <t>KG/H</t>
  </si>
  <si>
    <t>KGMOLE/H</t>
  </si>
  <si>
    <t>Stream flow units</t>
  </si>
  <si>
    <t>TONNES/DAY</t>
  </si>
  <si>
    <t>Pressure units</t>
  </si>
  <si>
    <t>BARA</t>
  </si>
  <si>
    <t>BARG</t>
  </si>
  <si>
    <t>PSIA</t>
  </si>
  <si>
    <t>PSIG</t>
  </si>
  <si>
    <t>KG/CM2 A</t>
  </si>
  <si>
    <t>KG/CM2 G</t>
  </si>
  <si>
    <t>Absolute pressure units</t>
  </si>
  <si>
    <t>Temperature units</t>
  </si>
  <si>
    <t>°C</t>
  </si>
  <si>
    <t>°F</t>
  </si>
  <si>
    <t>Yes/No selector</t>
  </si>
  <si>
    <t>YES</t>
  </si>
  <si>
    <t>NO</t>
  </si>
  <si>
    <t>Fluid Contents</t>
  </si>
  <si>
    <t>Common Cylinder Gas IDs</t>
  </si>
  <si>
    <t>Gas ID Tag</t>
  </si>
  <si>
    <t>Ammonia, NH3 (Research Purity)</t>
  </si>
  <si>
    <t>ID 1</t>
  </si>
  <si>
    <t>Value 1</t>
  </si>
  <si>
    <t>Argon, Ar (Research Purity)</t>
  </si>
  <si>
    <t>ID 2</t>
  </si>
  <si>
    <t>Value 2</t>
  </si>
  <si>
    <t>Carbon Dioxide, CO2 (Research Purity)</t>
  </si>
  <si>
    <t>ID 3</t>
  </si>
  <si>
    <t>Value 3</t>
  </si>
  <si>
    <t>Carbon Monoxide, CO (Research Purity)</t>
  </si>
  <si>
    <t>ID 4</t>
  </si>
  <si>
    <t>Value 4</t>
  </si>
  <si>
    <t>Chlorine, Cl2 (Research Purity)</t>
  </si>
  <si>
    <t>ID 5</t>
  </si>
  <si>
    <t>Value 5</t>
  </si>
  <si>
    <t>Ethane, C2H6 (Research Purity)</t>
  </si>
  <si>
    <t>ID 6</t>
  </si>
  <si>
    <t>Value 6</t>
  </si>
  <si>
    <t>Helium, He (Research Purity)</t>
  </si>
  <si>
    <t>ID 7</t>
  </si>
  <si>
    <t>Value 7</t>
  </si>
  <si>
    <t>Hydrogen, H2 (Research Purity)</t>
  </si>
  <si>
    <t>ID 8</t>
  </si>
  <si>
    <t>Value 8</t>
  </si>
  <si>
    <t>Methane, CH4 (Research Purity)</t>
  </si>
  <si>
    <t>ID 9</t>
  </si>
  <si>
    <t>Value 9</t>
  </si>
  <si>
    <t>Nitrogen, N2 (Research Purity)</t>
  </si>
  <si>
    <t>ID 10</t>
  </si>
  <si>
    <t>Value 10</t>
  </si>
  <si>
    <t>Oxygen, O2 (Research Purity)</t>
  </si>
  <si>
    <t>ID 11</t>
  </si>
  <si>
    <t>Value 11</t>
  </si>
  <si>
    <t>ID 12</t>
  </si>
  <si>
    <t>Value 12</t>
  </si>
  <si>
    <t>ID 13</t>
  </si>
  <si>
    <t>Value 13</t>
  </si>
  <si>
    <t>ID 14</t>
  </si>
  <si>
    <t>Value 14</t>
  </si>
  <si>
    <t>ID 15</t>
  </si>
  <si>
    <t>Value 15</t>
  </si>
  <si>
    <t>Composition</t>
  </si>
  <si>
    <t>Component 1</t>
  </si>
  <si>
    <t>Water Vapor - H2O</t>
  </si>
  <si>
    <t>Component 2</t>
  </si>
  <si>
    <t>Component 3</t>
  </si>
  <si>
    <t>Component 4</t>
  </si>
  <si>
    <t>Component 5</t>
  </si>
  <si>
    <t>Component 6</t>
  </si>
  <si>
    <t>Component 7</t>
  </si>
  <si>
    <t>Component 8</t>
  </si>
  <si>
    <t>Component 9</t>
  </si>
  <si>
    <t>Component 10</t>
  </si>
  <si>
    <t>Component 11</t>
  </si>
  <si>
    <t>Component 12</t>
  </si>
  <si>
    <t>Component 13</t>
  </si>
  <si>
    <t>Component 14</t>
  </si>
  <si>
    <t>Component 15</t>
  </si>
  <si>
    <t>Component 16</t>
  </si>
  <si>
    <t>Component 17</t>
  </si>
  <si>
    <t>Component 18</t>
  </si>
  <si>
    <t>J/gmole.K, ideal gas constant</t>
  </si>
  <si>
    <t>SG reference, kg/kgmole</t>
  </si>
  <si>
    <t>Pressure, bara</t>
  </si>
  <si>
    <t>H2O mol frac limit =</t>
  </si>
  <si>
    <t>Heat loss =</t>
  </si>
  <si>
    <t>% feed H</t>
  </si>
  <si>
    <t>Temperature, K</t>
  </si>
  <si>
    <t>H2S mol frac limit =</t>
  </si>
  <si>
    <t>CO2 mol frac limit =</t>
  </si>
  <si>
    <t>Tref =</t>
  </si>
  <si>
    <t>Mole fractions, y</t>
  </si>
  <si>
    <t>Mol weight</t>
  </si>
  <si>
    <t>C2+ hydrocarbons</t>
  </si>
  <si>
    <t>C5+ hydrocarbons</t>
  </si>
  <si>
    <t>Heat capacity, Cp</t>
  </si>
  <si>
    <t>Thermal conductivity individual</t>
  </si>
  <si>
    <t>Feed Wilke kinetic theory approach for thermal conductivity</t>
  </si>
  <si>
    <t>Product Wilke kinetic theory approach for thermal conductivity</t>
  </si>
  <si>
    <t>Waste Gas Wilke kinetic theory approach for thermal conductivity</t>
  </si>
  <si>
    <t>Viscosity individual</t>
  </si>
  <si>
    <t>microPoise</t>
  </si>
  <si>
    <t>Feed Wilke kinetic theory approach for viscosity</t>
  </si>
  <si>
    <t>Product Wilke kinetic theory approach for viscosity</t>
  </si>
  <si>
    <t>Waste Gas Wilke kinetic theory approach for viscosity</t>
  </si>
  <si>
    <t>H2S present?</t>
  </si>
  <si>
    <t>H2O present?</t>
  </si>
  <si>
    <t>Acid gas present?</t>
  </si>
  <si>
    <t>Enthalpy</t>
  </si>
  <si>
    <t>Feed</t>
  </si>
  <si>
    <t>Product</t>
  </si>
  <si>
    <t>Waste Gas</t>
  </si>
  <si>
    <t>Feed, vol%</t>
  </si>
  <si>
    <t>Feed, wt%</t>
  </si>
  <si>
    <t>Product, vol%</t>
  </si>
  <si>
    <t>Waste Gas, vol%</t>
  </si>
  <si>
    <t>Waste Gas, wt%</t>
  </si>
  <si>
    <t>φ1,j</t>
  </si>
  <si>
    <t>φ2,j</t>
  </si>
  <si>
    <t>φ3,j</t>
  </si>
  <si>
    <t>φ4,j</t>
  </si>
  <si>
    <t>φ5,j</t>
  </si>
  <si>
    <t>φ6,j</t>
  </si>
  <si>
    <t>φ7,j</t>
  </si>
  <si>
    <t>φ8,j</t>
  </si>
  <si>
    <t>φ9,j</t>
  </si>
  <si>
    <t>φ10,j</t>
  </si>
  <si>
    <t>φ11,j</t>
  </si>
  <si>
    <t>φ12,j</t>
  </si>
  <si>
    <t>φ13,j</t>
  </si>
  <si>
    <t>φ14,j</t>
  </si>
  <si>
    <t>φ15,j</t>
  </si>
  <si>
    <t>φ16,j</t>
  </si>
  <si>
    <t>φ17,j</t>
  </si>
  <si>
    <t>φ18,j</t>
  </si>
  <si>
    <r>
      <rPr>
        <sz val="10"/>
        <color theme="1"/>
        <rFont val="Calibri"/>
        <family val="2"/>
      </rPr>
      <t>µ</t>
    </r>
    <r>
      <rPr>
        <sz val="9"/>
        <color theme="1"/>
        <rFont val="Calibri"/>
        <family val="2"/>
      </rPr>
      <t>R</t>
    </r>
  </si>
  <si>
    <t>Fc</t>
  </si>
  <si>
    <t>Feed T*</t>
  </si>
  <si>
    <t>Collision integral</t>
  </si>
  <si>
    <t>Product T*</t>
  </si>
  <si>
    <t>Waste Gas T*</t>
  </si>
  <si>
    <r>
      <t xml:space="preserve">Feed </t>
    </r>
    <r>
      <rPr>
        <b/>
        <sz val="10"/>
        <color theme="1"/>
        <rFont val="Calibri"/>
        <family val="2"/>
      </rPr>
      <t>η</t>
    </r>
  </si>
  <si>
    <r>
      <t xml:space="preserve">Product </t>
    </r>
    <r>
      <rPr>
        <b/>
        <sz val="10"/>
        <color theme="1"/>
        <rFont val="Calibri"/>
        <family val="2"/>
      </rPr>
      <t>η</t>
    </r>
  </si>
  <si>
    <r>
      <t xml:space="preserve">Waste Gas </t>
    </r>
    <r>
      <rPr>
        <b/>
        <sz val="10"/>
        <color theme="1"/>
        <rFont val="Calibri"/>
        <family val="2"/>
      </rPr>
      <t>η</t>
    </r>
  </si>
  <si>
    <t>H2O</t>
  </si>
  <si>
    <t>Sums</t>
  </si>
  <si>
    <t>Specific gravity, -</t>
  </si>
  <si>
    <t>Density, kg/m3</t>
  </si>
  <si>
    <t>cp feed</t>
  </si>
  <si>
    <t>cp prod</t>
  </si>
  <si>
    <t>cp waste</t>
  </si>
  <si>
    <t>Water saturation calculations:</t>
  </si>
  <si>
    <t>Density, lb/ft3</t>
  </si>
  <si>
    <t>X = 1 - T/Tcrit,water</t>
  </si>
  <si>
    <t>HHV Heating value, BTU/scf</t>
  </si>
  <si>
    <t>bara, 100% water saturation pressure</t>
  </si>
  <si>
    <t>HHV Heating value, MJ/Nm3</t>
  </si>
  <si>
    <t>bara, entered water saturation pressure</t>
  </si>
  <si>
    <t>HHV Heating value, kcal/Nm3</t>
  </si>
  <si>
    <t>cp (Tf - Tref)</t>
  </si>
  <si>
    <t>cp (Tp - Tref)</t>
  </si>
  <si>
    <t>option for the saturation pressure calculation that has been enabled, if = 0 then disabled</t>
  </si>
  <si>
    <t>HHV Wobbe number, BTU/scf</t>
  </si>
  <si>
    <t>mole fraction of water vapor in feed stream</t>
  </si>
  <si>
    <t>HHV Wobbe number, MJ/Nm3</t>
  </si>
  <si>
    <t>(P_feed,total - P_H2O,saturated) / P_feed,total</t>
  </si>
  <si>
    <t>HHV Wobbe number, kcal/Nm3</t>
  </si>
  <si>
    <t>LHV Heating value, BTU/scf</t>
  </si>
  <si>
    <t>ndot cp DT</t>
  </si>
  <si>
    <t>Balance</t>
  </si>
  <si>
    <t>unit system entered, 1=vol%,2=wt%</t>
  </si>
  <si>
    <t>LHV Heating value, MJ/Nm3</t>
  </si>
  <si>
    <t>kJ/h</t>
  </si>
  <si>
    <t>Entered value</t>
  </si>
  <si>
    <t>Corrected entered value as fraction</t>
  </si>
  <si>
    <t>Mass frac * mol weight</t>
  </si>
  <si>
    <t>Mole % entered</t>
  </si>
  <si>
    <t>vol % : wt %, water in feed, if present</t>
  </si>
  <si>
    <t>LHV Heating value, kcal/Nm3</t>
  </si>
  <si>
    <t>vol % : wt%, feed corrected for water stauration if present, component 1</t>
  </si>
  <si>
    <t>LHV Wobbe number, BTU/scf</t>
  </si>
  <si>
    <t>vol % : wt%, feed corrected for water stauration if present, component 2</t>
  </si>
  <si>
    <t>LHV Wobbe number, MJ/Nm3</t>
  </si>
  <si>
    <t>Heat loss, %feed =</t>
  </si>
  <si>
    <t>vol % : wt%, feed corrected for water stauration if present, component 3</t>
  </si>
  <si>
    <t>LHV Wobbe number, kcal/Nm3</t>
  </si>
  <si>
    <t>Waste gas H =</t>
  </si>
  <si>
    <t>vol % : wt%, feed corrected for water stauration if present, component 4</t>
  </si>
  <si>
    <t>Heat capacity, kJ/kgmole.K</t>
  </si>
  <si>
    <t>Twaste gas =</t>
  </si>
  <si>
    <t>vol % : wt%, feed corrected for water stauration if present, component 5</t>
  </si>
  <si>
    <t>=</t>
  </si>
  <si>
    <t>vol % : wt%, feed corrected for water stauration if present, component 6</t>
  </si>
  <si>
    <t>Gamma = (Cp - R) / Cp</t>
  </si>
  <si>
    <t>vol % : wt%, feed corrected for water stauration if present, component 7</t>
  </si>
  <si>
    <r>
      <t>yi k</t>
    </r>
    <r>
      <rPr>
        <sz val="8"/>
        <rFont val="Calibri"/>
        <family val="2"/>
      </rPr>
      <t>i</t>
    </r>
    <r>
      <rPr>
        <sz val="10"/>
        <rFont val="Calibri"/>
        <family val="2"/>
        <scheme val="minor"/>
      </rPr>
      <t xml:space="preserve"> / sum( yj </t>
    </r>
    <r>
      <rPr>
        <sz val="10"/>
        <rFont val="Calibri"/>
        <family val="2"/>
      </rPr>
      <t>φij)</t>
    </r>
  </si>
  <si>
    <t>vol % : wt%, feed corrected for water stauration if present, component 8</t>
  </si>
  <si>
    <t>Mixture thermal condictivity, W/m.K</t>
  </si>
  <si>
    <t>W/m.K : BTU ft/h ft2 F</t>
  </si>
  <si>
    <t>vol % : wt%, feed corrected for water stauration if present, component 9</t>
  </si>
  <si>
    <r>
      <t xml:space="preserve">yi </t>
    </r>
    <r>
      <rPr>
        <sz val="10"/>
        <rFont val="Calibri"/>
        <family val="2"/>
      </rPr>
      <t>η</t>
    </r>
    <r>
      <rPr>
        <sz val="8"/>
        <rFont val="Calibri"/>
        <family val="2"/>
      </rPr>
      <t>i</t>
    </r>
    <r>
      <rPr>
        <sz val="10"/>
        <rFont val="Calibri"/>
        <family val="2"/>
        <scheme val="minor"/>
      </rPr>
      <t xml:space="preserve"> / sum( yj </t>
    </r>
    <r>
      <rPr>
        <sz val="10"/>
        <rFont val="Calibri"/>
        <family val="2"/>
      </rPr>
      <t>φij)</t>
    </r>
  </si>
  <si>
    <t>vol % : wt%, feed corrected for water stauration if present, component 10</t>
  </si>
  <si>
    <t>Mixture viscosity, micropoise</t>
  </si>
  <si>
    <t>micropoise : Cpoise : Pa.s</t>
  </si>
  <si>
    <t>vol % : wt%, feed corrected for water stauration if present, component 11</t>
  </si>
  <si>
    <t>Kinematic viscosity, m2/s</t>
  </si>
  <si>
    <t>m2/s : ft2/h, kinematic viscosity</t>
  </si>
  <si>
    <t>vol % : wt%, feed corrected for water stauration if present, component 12</t>
  </si>
  <si>
    <t>Thermal conductivity, W/m.K</t>
  </si>
  <si>
    <t>vol % : wt%, feed corrected for water stauration if present, component 13</t>
  </si>
  <si>
    <t>Species present, YES/NO</t>
  </si>
  <si>
    <t>vol % : wt%, feed corrected for water stauration if present, component 14</t>
  </si>
  <si>
    <t>vol % : wt%, feed corrected for water stauration if present, component 15</t>
  </si>
  <si>
    <t>vol % : wt%, feed corrected for water stauration if present, component 16</t>
  </si>
  <si>
    <t>vol % : wt%, feed corrected for water stauration if present, component 17</t>
  </si>
  <si>
    <t>vol % : wt%, total of water corrected feed stream</t>
  </si>
  <si>
    <t>Water dew point degF</t>
  </si>
  <si>
    <t>Water dew point degC</t>
  </si>
  <si>
    <t>ppmv of H2O</t>
  </si>
  <si>
    <t>Trendline from -100 to -130 degF: y = 5.677440E-07x4 + 3.079902E-04x3 + 6.292828E-02x2 + 5.744898E+00x + 1.979499E+02: y = Water ppmv, x = degF, R2 = 9.999492E-01</t>
  </si>
  <si>
    <t>ppmv/degF^4, coefficient multiplying x^4 term in water ppmv polynomial</t>
  </si>
  <si>
    <t>ppmv/degF^3, coefficient multiplying x^3 term in water ppmv polynomial</t>
  </si>
  <si>
    <t>ppmv/degF^2, coefficient multiplying x^2 term in water ppmv polynomial</t>
  </si>
  <si>
    <t>ppmv/degF^1, coefficient multiplying x^1 term in water ppmv polynomial</t>
  </si>
  <si>
    <t>ppmv, coefficient multiplying x^0 term in water ppmv polynomial</t>
  </si>
  <si>
    <t>dew point calculation enabled: 1 = degC dew point entered, 2=degF dew point entered</t>
  </si>
  <si>
    <t>degF, desired dew point selected</t>
  </si>
  <si>
    <t>degF, low value to interpolate from water dew point in product stream</t>
  </si>
  <si>
    <t>degF, high value to interpolate from water dew point in product stream</t>
  </si>
  <si>
    <t>ppmv, low value of water dew point to interpolate from in product stream</t>
  </si>
  <si>
    <t>ppmv, high value of water dew point to interpolate from in product stream</t>
  </si>
  <si>
    <t>ppmv, interpolated water saturation pressure if dew point option enabled</t>
  </si>
  <si>
    <t>ppmv, water in product if volume percent option enabled</t>
  </si>
  <si>
    <t>ppmv, water in product if ppmv option enabled</t>
  </si>
  <si>
    <t>ppmv of water entered by user</t>
  </si>
  <si>
    <t>Minimum</t>
  </si>
  <si>
    <t>Maximum</t>
  </si>
  <si>
    <t>vol %, water to correct to</t>
  </si>
  <si>
    <t>vol %, product component 1 as entered</t>
  </si>
  <si>
    <t>vol %, product component 2 as entered</t>
  </si>
  <si>
    <t>vol %, product component 3 as entered</t>
  </si>
  <si>
    <t>vol %, product component 4 as entered</t>
  </si>
  <si>
    <t>vol %, product component 5 as entered</t>
  </si>
  <si>
    <t>vol %, product component 6 as entered</t>
  </si>
  <si>
    <t>vol %, product component 7 as entered</t>
  </si>
  <si>
    <t>vol %, product component 8 as entered</t>
  </si>
  <si>
    <t>vol %, product component 9 as entered</t>
  </si>
  <si>
    <t>vol %, product component 10 as entered</t>
  </si>
  <si>
    <t>vol %, product component 11 as entered</t>
  </si>
  <si>
    <t>vol %, product component 12 as entered</t>
  </si>
  <si>
    <t>vol %, product component 13 as entered</t>
  </si>
  <si>
    <t>vol %, product component 14 as entered</t>
  </si>
  <si>
    <t>vol %, product component 15 as entered</t>
  </si>
  <si>
    <t>vol %, product component 16 as entered</t>
  </si>
  <si>
    <t>vol %, product component 17 as entered</t>
  </si>
  <si>
    <t>vol %, left over from 100% of non-water, non-product, non-MINIMUM(ID = 1) and non-MAXIMUM(ID = 2) species</t>
  </si>
  <si>
    <t>vol % : wt%, water in product, if present</t>
  </si>
  <si>
    <t>vol % : wt %, product corrected for water, component 1 ---&gt; this is desired component and is always set to entered value, does not get corrected</t>
  </si>
  <si>
    <t>vol % : wt %, product corrected for water, component 2</t>
  </si>
  <si>
    <t>vol % : wt %, product corrected for water, component 3</t>
  </si>
  <si>
    <t>vol % : wt %, product corrected for water, component 4</t>
  </si>
  <si>
    <t>vol % : wt %, product corrected for water, component 5</t>
  </si>
  <si>
    <t>vol % : wt %, product corrected for water, component 6</t>
  </si>
  <si>
    <t>vol % : wt %, product corrected for water, component 7</t>
  </si>
  <si>
    <t>vol % : wt %, product corrected for water, component 8</t>
  </si>
  <si>
    <t>vol % : wt %, product corrected for water, component 9</t>
  </si>
  <si>
    <t>vol % : wt %, product corrected for water, component 10</t>
  </si>
  <si>
    <t>vol % : wt %, product corrected for water, component 11</t>
  </si>
  <si>
    <t>vol % : wt %, product corrected for water, component 12</t>
  </si>
  <si>
    <t>vol % : wt %, product corrected for water, component 13</t>
  </si>
  <si>
    <t>vol % : wt %, product corrected for water, component 14</t>
  </si>
  <si>
    <t>vol % : wt %, product corrected for water, component 15</t>
  </si>
  <si>
    <t>vol % : wt %, product corrected for water, component 16</t>
  </si>
  <si>
    <t>vol % : wt %, product corrected for water, component 17</t>
  </si>
  <si>
    <t>vol % : wt %, total of water corrected product stream</t>
  </si>
  <si>
    <t>Mole balance</t>
  </si>
  <si>
    <t>Selected feed flow unit</t>
  </si>
  <si>
    <t>m3/h, reference feed volume flow selected</t>
  </si>
  <si>
    <t>K, reference temperature</t>
  </si>
  <si>
    <t>Pa, reference pressure</t>
  </si>
  <si>
    <t>kgmole/h, entered molar feed flow</t>
  </si>
  <si>
    <t>Guaranteed flows</t>
  </si>
  <si>
    <t>Component 2 recovery</t>
  </si>
  <si>
    <t>kgmole/h</t>
  </si>
  <si>
    <t>n Feed</t>
  </si>
  <si>
    <t>n Prod</t>
  </si>
  <si>
    <t>n WstGas</t>
  </si>
  <si>
    <t>y Feed</t>
  </si>
  <si>
    <t>n Feed,i</t>
  </si>
  <si>
    <t>y Prod</t>
  </si>
  <si>
    <t>n Prod,i</t>
  </si>
  <si>
    <t>y WstGas</t>
  </si>
  <si>
    <t>n WstGas,i</t>
  </si>
  <si>
    <t>vol % : wt%, water in waste gas, if present</t>
  </si>
  <si>
    <t>vol % : wt %, waste gas corrected for water, component 1</t>
  </si>
  <si>
    <t>vol % : wt %, waste gas corrected for water, component 2</t>
  </si>
  <si>
    <t>vol % : wt %, waste gas corrected for water, component 3</t>
  </si>
  <si>
    <t>vol % : wt %, waste gas corrected for water, component 4</t>
  </si>
  <si>
    <t>vol % : wt %, waste gas corrected for water, component 5</t>
  </si>
  <si>
    <t>vol % : wt %, waste gas corrected for water, component 6</t>
  </si>
  <si>
    <t>vol % : wt %, waste gas corrected for water, component 7</t>
  </si>
  <si>
    <t>vol % : wt %, waste gas corrected for water, component 8</t>
  </si>
  <si>
    <t>vol % : wt %, waste gas corrected for water, component 9</t>
  </si>
  <si>
    <t>vol % : wt %, waste gas corrected for water, component 10</t>
  </si>
  <si>
    <t>vol % : wt %, waste gas corrected for water, component 11</t>
  </si>
  <si>
    <t>vol % : wt %, waste gas corrected for water, component 12</t>
  </si>
  <si>
    <t>vol % : wt %, waste gas corrected for water, component 13</t>
  </si>
  <si>
    <t>vol % : wt %, waste gas corrected for water, component 14</t>
  </si>
  <si>
    <t>vol % : wt %, waste gas corrected for water, component 15</t>
  </si>
  <si>
    <t>vol % : wt %, waste gas corrected for water, component 16</t>
  </si>
  <si>
    <t>vol % : wt %, waste gas corrected for water, component 17</t>
  </si>
  <si>
    <t>mol wt</t>
  </si>
  <si>
    <t>vol % : wt %, total of water corrected waste gas stream</t>
  </si>
  <si>
    <t>scfh</t>
  </si>
  <si>
    <t>Nm3/h</t>
  </si>
  <si>
    <t>MMscfd</t>
  </si>
  <si>
    <t>Water density fit as a function of temperature between 2 and 69 degC</t>
  </si>
  <si>
    <t>kg/h</t>
  </si>
  <si>
    <r>
      <t>y = -2.11256119E-07x</t>
    </r>
    <r>
      <rPr>
        <vertAlign val="superscript"/>
        <sz val="10"/>
        <color rgb="FF000000"/>
        <rFont val="Calibri"/>
        <family val="2"/>
        <scheme val="minor"/>
      </rPr>
      <t>4</t>
    </r>
    <r>
      <rPr>
        <sz val="10"/>
        <color rgb="FF000000"/>
        <rFont val="Calibri"/>
        <family val="2"/>
        <scheme val="minor"/>
      </rPr>
      <t xml:space="preserve"> + 5.26175927E-05x</t>
    </r>
    <r>
      <rPr>
        <vertAlign val="super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 xml:space="preserve"> - 7.97172419E-03x</t>
    </r>
    <r>
      <rPr>
        <vertAlign val="super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 xml:space="preserve"> + 5.71181748E-02x + 9.99823179E+02</t>
    </r>
  </si>
  <si>
    <t xml:space="preserve">R² = 9.99999663E-01 </t>
  </si>
  <si>
    <t>tonnes/day</t>
  </si>
  <si>
    <t>A</t>
  </si>
  <si>
    <t>display</t>
  </si>
  <si>
    <t>B</t>
  </si>
  <si>
    <t>liquid water density</t>
  </si>
  <si>
    <t>C</t>
  </si>
  <si>
    <t>water flow, kg/hr</t>
  </si>
  <si>
    <t>D</t>
  </si>
  <si>
    <t>water flow, l/day</t>
  </si>
  <si>
    <t>E</t>
  </si>
  <si>
    <t>water flow, gal/day</t>
  </si>
  <si>
    <t>Expected flows</t>
  </si>
  <si>
    <t>MWt term</t>
  </si>
  <si>
    <t>REV.</t>
  </si>
  <si>
    <t>PARAMETER</t>
  </si>
  <si>
    <t>UNITS</t>
  </si>
  <si>
    <t>FEED STREAM</t>
  </si>
  <si>
    <t>PRODUCT STREAM</t>
  </si>
  <si>
    <t>WASTE GAS STREAM</t>
  </si>
  <si>
    <t>Hide CB&amp;I proprietary numbers/information on datasheet</t>
  </si>
  <si>
    <t>TEMPERATURE,</t>
  </si>
  <si>
    <t>K, feed temperature ; product temperature : waste gas temperature</t>
  </si>
  <si>
    <t>PRESSURE,</t>
  </si>
  <si>
    <t>bara, feed pressure : product pressure : waste gas pressure</t>
  </si>
  <si>
    <t>COMPOSITION</t>
  </si>
  <si>
    <t>DATA PROVIDED</t>
  </si>
  <si>
    <t>WET BASIS</t>
  </si>
  <si>
    <t>TOTAL</t>
  </si>
  <si>
    <t>ENTERED FLOW RATE</t>
  </si>
  <si>
    <t>STREAM FLOW RATE,</t>
  </si>
  <si>
    <t>WATER FLOW IF LIQUID PHASE,</t>
  </si>
  <si>
    <t>LITER/DAY</t>
  </si>
  <si>
    <t>C2+ HYDROCARBONS IN STREAM</t>
  </si>
  <si>
    <t>C5+ HYDROCARBONS IN STREAM</t>
  </si>
  <si>
    <t>SOUR GAS STREAM (H2S PRESENT)</t>
  </si>
  <si>
    <t>10</t>
  </si>
  <si>
    <t>ppmv level of H2S above which sour gas stream assumed</t>
  </si>
  <si>
    <t>WET GAS STREAM (H2O PRESENT)</t>
  </si>
  <si>
    <t>100</t>
  </si>
  <si>
    <t>ppmv level of H20 above which wet gas stream assumed</t>
  </si>
  <si>
    <t>ACID GAS STREAM (CO2 + H2O PRESENT)</t>
  </si>
  <si>
    <t>ppmv level of CO2 above which acid gas stream assumed, this check also uses H2O level above</t>
  </si>
  <si>
    <t>MOLECULAR WEIGHT,</t>
  </si>
  <si>
    <t>KG/KGMOLE</t>
  </si>
  <si>
    <t>SPECIFIC GRAVITY,</t>
  </si>
  <si>
    <t>HIGHER HEATING VALUE,</t>
  </si>
  <si>
    <t>KCAL/NM3</t>
  </si>
  <si>
    <t>LOWER HEATING VALUE,</t>
  </si>
  <si>
    <t>WOBBE NUMBER, HHV BASIS,</t>
  </si>
  <si>
    <t>WOBBE NUMBER, LHV BASIS,</t>
  </si>
  <si>
    <t>GAS DENSITY,</t>
  </si>
  <si>
    <t>KG/M3</t>
  </si>
  <si>
    <t>DYNAMIC VISCOSITY,</t>
  </si>
  <si>
    <t>CENTIPOISE</t>
  </si>
  <si>
    <t>KINEMATIC VISCOSITY,</t>
  </si>
  <si>
    <t>M2/S</t>
  </si>
  <si>
    <t>THERMAL CONDUCTIVITY,</t>
  </si>
  <si>
    <t>W/M.K</t>
  </si>
  <si>
    <t>MIXTURE HEAT CAPACITY,</t>
  </si>
  <si>
    <t>KJ / KGMOLE.K</t>
  </si>
  <si>
    <t>HEAT CAPACITY RATIO, γ</t>
  </si>
  <si>
    <t>ATMOSPHERIC PRESSURE</t>
  </si>
  <si>
    <t>bara, atmospheric pressure</t>
  </si>
  <si>
    <t>Required Relief Load Calculation:</t>
  </si>
  <si>
    <t>* Calculation based on catastrophic regulator failure upstream of relief device; checks for critical or sub-critical flow to determine the relief load</t>
  </si>
  <si>
    <r>
      <t>System Set Pressure, P</t>
    </r>
    <r>
      <rPr>
        <vertAlign val="subscript"/>
        <sz val="10"/>
        <color theme="1"/>
        <rFont val="Arial Narrow"/>
        <family val="2"/>
      </rPr>
      <t>set</t>
    </r>
    <r>
      <rPr>
        <sz val="10"/>
        <color theme="1"/>
        <rFont val="Arial Narrow"/>
        <family val="2"/>
      </rPr>
      <t xml:space="preserve"> = </t>
    </r>
  </si>
  <si>
    <t>psig</t>
  </si>
  <si>
    <r>
      <t>Source Gas Pressure, P</t>
    </r>
    <r>
      <rPr>
        <vertAlign val="subscript"/>
        <sz val="10"/>
        <color theme="1"/>
        <rFont val="Arial Narrow"/>
        <family val="2"/>
      </rPr>
      <t>F1</t>
    </r>
    <r>
      <rPr>
        <sz val="10"/>
        <color theme="1"/>
        <rFont val="Arial Narrow"/>
        <family val="2"/>
      </rPr>
      <t xml:space="preserve"> = </t>
    </r>
  </si>
  <si>
    <r>
      <t>Equivalent C</t>
    </r>
    <r>
      <rPr>
        <vertAlign val="subscript"/>
        <sz val="10"/>
        <color theme="1"/>
        <rFont val="Arial Narrow"/>
        <family val="2"/>
      </rPr>
      <t>V</t>
    </r>
    <r>
      <rPr>
        <sz val="10"/>
        <color theme="1"/>
        <rFont val="Arial Narrow"/>
        <family val="2"/>
      </rPr>
      <t>, C</t>
    </r>
    <r>
      <rPr>
        <vertAlign val="subscript"/>
        <sz val="10"/>
        <color theme="1"/>
        <rFont val="Arial Narrow"/>
        <family val="2"/>
      </rPr>
      <t>VF1</t>
    </r>
    <r>
      <rPr>
        <sz val="10"/>
        <color theme="1"/>
        <rFont val="Arial Narrow"/>
        <family val="2"/>
      </rPr>
      <t xml:space="preserve"> = </t>
    </r>
  </si>
  <si>
    <r>
      <t>Gas Specific Heat Ratio, k</t>
    </r>
    <r>
      <rPr>
        <vertAlign val="subscript"/>
        <sz val="10"/>
        <color theme="1"/>
        <rFont val="Arial Narrow"/>
        <family val="2"/>
      </rPr>
      <t>F1</t>
    </r>
    <r>
      <rPr>
        <sz val="10"/>
        <color theme="1"/>
        <rFont val="Arial Narrow"/>
        <family val="2"/>
      </rPr>
      <t xml:space="preserve"> = </t>
    </r>
  </si>
  <si>
    <r>
      <t>Relief Load, W</t>
    </r>
    <r>
      <rPr>
        <vertAlign val="subscript"/>
        <sz val="10"/>
        <color theme="1"/>
        <rFont val="Arial Narrow"/>
        <family val="2"/>
      </rPr>
      <t>F1</t>
    </r>
    <r>
      <rPr>
        <sz val="10"/>
        <color theme="1"/>
        <rFont val="Arial Narrow"/>
        <family val="2"/>
      </rPr>
      <t xml:space="preserve"> = </t>
    </r>
  </si>
  <si>
    <t>SCFM</t>
  </si>
  <si>
    <t>Relief Valve Sizing:</t>
  </si>
  <si>
    <t>* Sizing based on API 520 Section 5.6.3 or 5.6.4 Equations</t>
  </si>
  <si>
    <r>
      <t>Normal Operating Pressure, P</t>
    </r>
    <r>
      <rPr>
        <vertAlign val="subscript"/>
        <sz val="10"/>
        <color theme="1"/>
        <rFont val="Arial Narrow"/>
        <family val="2"/>
      </rPr>
      <t>N</t>
    </r>
    <r>
      <rPr>
        <sz val="10"/>
        <color theme="1"/>
        <rFont val="Arial Narrow"/>
        <family val="2"/>
      </rPr>
      <t xml:space="preserve"> = </t>
    </r>
  </si>
  <si>
    <r>
      <t>Normal Operating Temp., T</t>
    </r>
    <r>
      <rPr>
        <vertAlign val="subscript"/>
        <sz val="10"/>
        <color theme="1"/>
        <rFont val="Arial Narrow"/>
        <family val="2"/>
      </rPr>
      <t>N</t>
    </r>
    <r>
      <rPr>
        <sz val="10"/>
        <color theme="1"/>
        <rFont val="Arial Narrow"/>
        <family val="2"/>
      </rPr>
      <t xml:space="preserve"> = </t>
    </r>
  </si>
  <si>
    <r>
      <rPr>
        <vertAlign val="superscript"/>
        <sz val="10"/>
        <color theme="1"/>
        <rFont val="Arial Narrow"/>
        <family val="2"/>
      </rPr>
      <t>o</t>
    </r>
    <r>
      <rPr>
        <sz val="10"/>
        <color theme="1"/>
        <rFont val="Arial Narrow"/>
        <family val="2"/>
      </rPr>
      <t>R</t>
    </r>
  </si>
  <si>
    <r>
      <t>Relief Valve Back Pressure, P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= </t>
    </r>
  </si>
  <si>
    <t xml:space="preserve">Gas Molecular Weight, M.W. = </t>
  </si>
  <si>
    <t>g/gmole</t>
  </si>
  <si>
    <t xml:space="preserve">Gas Density, ρ = </t>
  </si>
  <si>
    <r>
      <t>kg/m</t>
    </r>
    <r>
      <rPr>
        <vertAlign val="superscript"/>
        <sz val="10"/>
        <color theme="1"/>
        <rFont val="Arial Narrow"/>
        <family val="2"/>
      </rPr>
      <t>3</t>
    </r>
  </si>
  <si>
    <r>
      <t>Backpressure Capacity Correction, K</t>
    </r>
    <r>
      <rPr>
        <vertAlign val="subscript"/>
        <sz val="10"/>
        <color theme="1"/>
        <rFont val="Arial Narrow"/>
        <family val="2"/>
      </rPr>
      <t>b</t>
    </r>
    <r>
      <rPr>
        <sz val="10"/>
        <color theme="1"/>
        <rFont val="Arial Narrow"/>
        <family val="2"/>
      </rPr>
      <t xml:space="preserve"> = </t>
    </r>
  </si>
  <si>
    <r>
      <t>Rupture Disk Capacity Correction, K</t>
    </r>
    <r>
      <rPr>
        <vertAlign val="subscript"/>
        <sz val="10"/>
        <color theme="1"/>
        <rFont val="Arial Narrow"/>
        <family val="2"/>
      </rPr>
      <t>C</t>
    </r>
    <r>
      <rPr>
        <sz val="10"/>
        <color theme="1"/>
        <rFont val="Arial Narrow"/>
        <family val="2"/>
      </rPr>
      <t xml:space="preserve"> = </t>
    </r>
  </si>
  <si>
    <r>
      <t>Coefficient of Discharge, K</t>
    </r>
    <r>
      <rPr>
        <vertAlign val="subscript"/>
        <sz val="10"/>
        <color theme="1"/>
        <rFont val="Arial Narrow"/>
        <family val="2"/>
      </rPr>
      <t>D</t>
    </r>
    <r>
      <rPr>
        <sz val="10"/>
        <color theme="1"/>
        <rFont val="Arial Narrow"/>
        <family val="2"/>
      </rPr>
      <t xml:space="preserve"> = </t>
    </r>
  </si>
  <si>
    <t xml:space="preserve">Gas Compressability Factor, Z = </t>
  </si>
  <si>
    <t>API 520 Non-Fire Case Required Area Calculation</t>
  </si>
  <si>
    <r>
      <t>Upstream Relieving Pressure, P</t>
    </r>
    <r>
      <rPr>
        <vertAlign val="sub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 xml:space="preserve"> = </t>
    </r>
  </si>
  <si>
    <t>psia</t>
  </si>
  <si>
    <r>
      <t>Gas Temp. @ Relieving Pressure, T</t>
    </r>
    <r>
      <rPr>
        <vertAlign val="sub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 xml:space="preserve"> = </t>
    </r>
  </si>
  <si>
    <r>
      <t>Relief Load, q</t>
    </r>
    <r>
      <rPr>
        <vertAlign val="subscript"/>
        <sz val="10"/>
        <color theme="1"/>
        <rFont val="Arial Narrow"/>
        <family val="2"/>
      </rPr>
      <t>m,relief</t>
    </r>
    <r>
      <rPr>
        <sz val="10"/>
        <color theme="1"/>
        <rFont val="Arial Narrow"/>
        <family val="2"/>
      </rPr>
      <t xml:space="preserve"> = </t>
    </r>
  </si>
  <si>
    <r>
      <t>Critical Flow Pressure, P</t>
    </r>
    <r>
      <rPr>
        <i/>
        <vertAlign val="subscript"/>
        <sz val="10"/>
        <color theme="1"/>
        <rFont val="Arial Narrow"/>
        <family val="2"/>
      </rPr>
      <t>cf</t>
    </r>
    <r>
      <rPr>
        <sz val="10"/>
        <color theme="1"/>
        <rFont val="Arial Narrow"/>
        <family val="2"/>
      </rPr>
      <t xml:space="preserve"> = </t>
    </r>
  </si>
  <si>
    <t xml:space="preserve">Constant, C = </t>
  </si>
  <si>
    <t xml:space="preserve">Ratio, r = </t>
  </si>
  <si>
    <r>
      <t>Coefficient of Sub-Critical Flow, F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= </t>
    </r>
  </si>
  <si>
    <t xml:space="preserve">Effective Dishcarge Area of Valve, A = </t>
  </si>
  <si>
    <r>
      <t>in.</t>
    </r>
    <r>
      <rPr>
        <vertAlign val="superscript"/>
        <sz val="10"/>
        <color theme="1"/>
        <rFont val="Arial Narrow"/>
        <family val="2"/>
      </rPr>
      <t>2</t>
    </r>
  </si>
  <si>
    <t>PROCESS CONDITIONS &amp; DATA</t>
  </si>
  <si>
    <t>SYSTEM LOCATION</t>
  </si>
  <si>
    <t>Building 11, Room S126</t>
  </si>
  <si>
    <t>FLUID CONTENTS</t>
  </si>
  <si>
    <t>YEAR BUILT</t>
  </si>
  <si>
    <t>MIN DESIGN METAL TEMPERATURE (MDMT)</t>
  </si>
  <si>
    <t>MAX ALLOWABLE WORKING PRESSURE (MAWP)</t>
  </si>
  <si>
    <t>MAX OPERATING PRESSURE (MOP)</t>
  </si>
  <si>
    <t>NORMAL OPERATING CONDITIONS</t>
  </si>
  <si>
    <t>TEST PRESSURE</t>
  </si>
  <si>
    <t>PRESSURE TEST TYPE</t>
  </si>
  <si>
    <t>PNEUMATIC</t>
  </si>
  <si>
    <t>SOURCE GAS PRESSURE</t>
  </si>
  <si>
    <t>HYDROSTATIC</t>
  </si>
  <si>
    <t>RELIEF BACK PRESSUE</t>
  </si>
  <si>
    <t>EQUIVALENT Cv</t>
  </si>
  <si>
    <t>COMBINATION</t>
  </si>
  <si>
    <t>COMPONENT DESCRIPTION</t>
  </si>
  <si>
    <t>COMPONENT</t>
  </si>
  <si>
    <t>SIZE (NPS)</t>
  </si>
  <si>
    <t>MATERIAL</t>
  </si>
  <si>
    <t>RATING (psig)</t>
  </si>
  <si>
    <t>FLOW COEFFICIENT (Cv)</t>
  </si>
  <si>
    <t>MAX CAPACITY (SCFM)</t>
  </si>
  <si>
    <r>
      <t>1</t>
    </r>
    <r>
      <rPr>
        <vertAlign val="superscript"/>
        <sz val="10"/>
        <color theme="1"/>
        <rFont val="Times New Roman"/>
        <family val="1"/>
      </rPr>
      <t xml:space="preserve">st </t>
    </r>
    <r>
      <rPr>
        <sz val="10"/>
        <color theme="1"/>
        <rFont val="Times New Roman"/>
        <family val="1"/>
      </rPr>
      <t>STAGE REGULATOR</t>
    </r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</si>
  <si>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STAGE REGULATOR</t>
    </r>
  </si>
  <si>
    <t>FLOW RESTRICTOR</t>
  </si>
  <si>
    <t>NEEDLE VALVE</t>
  </si>
  <si>
    <t>BALL VALVE</t>
  </si>
  <si>
    <t>PRESSURE RELIEF SYSTEM DESIGN AND CALCULATIONS</t>
  </si>
  <si>
    <t>TYPE</t>
  </si>
  <si>
    <t>SET PRESSURE (psig)</t>
  </si>
  <si>
    <t>REQUIRED FLOW RATE (SCFM)</t>
  </si>
  <si>
    <t>MAX FLOW RATE (SCFM)</t>
  </si>
  <si>
    <t>RELIEF DEVICE</t>
  </si>
  <si>
    <t>VALVE</t>
  </si>
  <si>
    <t>REQUIRED NOZZLE AREA</t>
  </si>
  <si>
    <r>
      <t>in</t>
    </r>
    <r>
      <rPr>
        <vertAlign val="superscript"/>
        <sz val="10"/>
        <color theme="1"/>
        <rFont val="Times New Roman"/>
        <family val="1"/>
      </rPr>
      <t>2</t>
    </r>
  </si>
  <si>
    <t>N/A</t>
  </si>
  <si>
    <t>ACTUAL NOZZLE AREA</t>
  </si>
  <si>
    <t>DISC</t>
  </si>
  <si>
    <t>= Drop Down List</t>
  </si>
  <si>
    <t>= Manual Entry</t>
  </si>
  <si>
    <t>Krypton - Kr</t>
  </si>
  <si>
    <t>Kr</t>
  </si>
  <si>
    <t>Krypton, Kr (Research Purity)</t>
  </si>
  <si>
    <t xml:space="preserve">Max. Flow Rate of Relief Valve, V = </t>
  </si>
  <si>
    <t>SS 316L</t>
  </si>
  <si>
    <t xml:space="preserve">A = </t>
  </si>
  <si>
    <t xml:space="preserve">B = </t>
  </si>
  <si>
    <r>
      <t>Critical Pressure Ratio, P</t>
    </r>
    <r>
      <rPr>
        <vertAlign val="subscript"/>
        <sz val="10"/>
        <color theme="1"/>
        <rFont val="Arial Narrow"/>
        <family val="2"/>
      </rPr>
      <t>c</t>
    </r>
    <r>
      <rPr>
        <sz val="10"/>
        <color theme="1"/>
        <rFont val="Arial Narrow"/>
        <family val="2"/>
      </rPr>
      <t>/P</t>
    </r>
    <r>
      <rPr>
        <vertAlign val="sub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 xml:space="preserve"> = </t>
    </r>
  </si>
  <si>
    <t>Ethylene, C2H4 (Research Purity)</t>
  </si>
  <si>
    <t>*Assuming Adiabatic Compression of the gas due to very low volume and short duration of spike in pressure following abrupt open regulator failure.</t>
  </si>
</sst>
</file>

<file path=xl/styles.xml><?xml version="1.0" encoding="utf-8"?>
<styleSheet xmlns="http://schemas.openxmlformats.org/spreadsheetml/2006/main">
  <numFmts count="10">
    <numFmt numFmtId="164" formatCode="#,##0.0"/>
    <numFmt numFmtId="165" formatCode="0.0000"/>
    <numFmt numFmtId="166" formatCode="0.0"/>
    <numFmt numFmtId="167" formatCode="0.000"/>
    <numFmt numFmtId="168" formatCode="0.000E+00"/>
    <numFmt numFmtId="169" formatCode="0.00000"/>
    <numFmt numFmtId="170" formatCode="0.000000"/>
    <numFmt numFmtId="171" formatCode="0.0000000"/>
    <numFmt numFmtId="172" formatCode="#,##0.0000"/>
    <numFmt numFmtId="173" formatCode="&quot;D&quot;0"/>
  </numFmts>
  <fonts count="38">
    <font>
      <sz val="11"/>
      <color theme="1"/>
      <name val="Arial Narrow"/>
      <family val="2"/>
    </font>
    <font>
      <b/>
      <i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9"/>
      <name val="Symbol"/>
      <family val="1"/>
      <charset val="2"/>
    </font>
    <font>
      <sz val="9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b/>
      <i/>
      <u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i/>
      <vertAlign val="subscript"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23" fillId="3" borderId="15" applyBorder="0">
      <alignment horizontal="center" vertical="center"/>
    </xf>
    <xf numFmtId="0" fontId="20" fillId="2" borderId="10" applyFont="0">
      <alignment horizontal="center" vertical="center"/>
      <protection locked="0"/>
    </xf>
    <xf numFmtId="49" fontId="20" fillId="2" borderId="10" applyFont="0">
      <alignment horizontal="center" vertical="center"/>
      <protection locked="0"/>
    </xf>
    <xf numFmtId="0" fontId="35" fillId="4" borderId="10" applyAlignment="0">
      <alignment horizontal="center" vertical="center"/>
      <protection locked="0"/>
    </xf>
    <xf numFmtId="0" fontId="35" fillId="5" borderId="10" applyAlignment="0">
      <alignment horizontal="center" vertical="center"/>
      <protection locked="0"/>
    </xf>
  </cellStyleXfs>
  <cellXfs count="479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165" fontId="2" fillId="0" borderId="0" xfId="0" applyNumberFormat="1" applyFont="1" applyAlignment="1" applyProtection="1">
      <alignment horizontal="center" vertical="center"/>
    </xf>
    <xf numFmtId="166" fontId="2" fillId="0" borderId="0" xfId="0" applyNumberFormat="1" applyFont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center" vertical="center"/>
    </xf>
    <xf numFmtId="167" fontId="2" fillId="0" borderId="0" xfId="0" applyNumberFormat="1" applyFont="1" applyAlignment="1" applyProtection="1">
      <alignment horizontal="center" vertical="center"/>
    </xf>
    <xf numFmtId="167" fontId="7" fillId="0" borderId="0" xfId="1" applyNumberFormat="1" applyFont="1" applyFill="1" applyBorder="1" applyAlignment="1" applyProtection="1">
      <alignment horizontal="center" vertical="center"/>
    </xf>
    <xf numFmtId="168" fontId="2" fillId="0" borderId="0" xfId="0" applyNumberFormat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165" fontId="7" fillId="0" borderId="0" xfId="1" applyNumberFormat="1" applyFont="1" applyAlignment="1" applyProtection="1">
      <alignment horizontal="center" vertical="center"/>
    </xf>
    <xf numFmtId="166" fontId="7" fillId="0" borderId="0" xfId="1" applyNumberFormat="1" applyFont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2" fontId="7" fillId="0" borderId="0" xfId="1" applyNumberFormat="1" applyFont="1" applyFill="1" applyBorder="1" applyAlignment="1" applyProtection="1">
      <alignment horizontal="center" vertical="center"/>
    </xf>
    <xf numFmtId="166" fontId="7" fillId="0" borderId="0" xfId="1" applyNumberFormat="1" applyFont="1" applyFill="1" applyBorder="1" applyAlignment="1" applyProtection="1">
      <alignment horizontal="center" vertical="center"/>
    </xf>
    <xf numFmtId="165" fontId="7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3" xfId="0" applyFont="1" applyBorder="1" applyAlignment="1" applyProtection="1">
      <alignment horizontal="right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 wrapText="1"/>
    </xf>
    <xf numFmtId="169" fontId="2" fillId="0" borderId="0" xfId="0" applyNumberFormat="1" applyFont="1" applyAlignment="1" applyProtection="1">
      <alignment horizontal="center" vertical="center"/>
    </xf>
    <xf numFmtId="0" fontId="9" fillId="0" borderId="6" xfId="0" applyFont="1" applyBorder="1" applyAlignment="1" applyProtection="1">
      <alignment horizontal="right" vertical="center"/>
    </xf>
    <xf numFmtId="0" fontId="2" fillId="0" borderId="0" xfId="0" applyFont="1" applyProtection="1"/>
    <xf numFmtId="0" fontId="7" fillId="0" borderId="0" xfId="1" applyFont="1" applyProtection="1"/>
    <xf numFmtId="0" fontId="7" fillId="0" borderId="0" xfId="1" applyFont="1" applyAlignment="1" applyProtection="1">
      <alignment horizontal="right"/>
    </xf>
    <xf numFmtId="0" fontId="7" fillId="0" borderId="6" xfId="1" applyFont="1" applyBorder="1" applyProtection="1"/>
    <xf numFmtId="0" fontId="2" fillId="0" borderId="6" xfId="0" applyFont="1" applyBorder="1" applyProtection="1"/>
    <xf numFmtId="0" fontId="7" fillId="0" borderId="0" xfId="1" applyFont="1" applyBorder="1" applyProtection="1"/>
    <xf numFmtId="0" fontId="2" fillId="0" borderId="7" xfId="0" applyFont="1" applyBorder="1" applyProtection="1"/>
    <xf numFmtId="0" fontId="2" fillId="0" borderId="0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left"/>
    </xf>
    <xf numFmtId="170" fontId="2" fillId="0" borderId="0" xfId="0" applyNumberFormat="1" applyFont="1" applyAlignment="1" applyProtection="1">
      <alignment horizontal="left"/>
    </xf>
    <xf numFmtId="0" fontId="2" fillId="0" borderId="9" xfId="0" applyFont="1" applyBorder="1" applyAlignment="1" applyProtection="1">
      <alignment horizontal="right"/>
    </xf>
    <xf numFmtId="2" fontId="2" fillId="2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2" fontId="7" fillId="0" borderId="0" xfId="1" applyNumberFormat="1" applyFont="1" applyProtection="1"/>
    <xf numFmtId="2" fontId="7" fillId="0" borderId="6" xfId="1" applyNumberFormat="1" applyFont="1" applyBorder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0" borderId="6" xfId="0" applyFont="1" applyBorder="1" applyProtection="1"/>
    <xf numFmtId="0" fontId="3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8" xfId="0" applyFont="1" applyBorder="1" applyProtection="1"/>
    <xf numFmtId="0" fontId="3" fillId="0" borderId="9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9" xfId="0" applyFont="1" applyBorder="1" applyProtection="1"/>
    <xf numFmtId="0" fontId="6" fillId="0" borderId="0" xfId="1" applyFont="1" applyFill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3" fillId="0" borderId="7" xfId="0" applyFont="1" applyBorder="1" applyAlignment="1" applyProtection="1">
      <alignment horizontal="left"/>
    </xf>
    <xf numFmtId="0" fontId="10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170" fontId="2" fillId="0" borderId="0" xfId="0" applyNumberFormat="1" applyFont="1" applyProtection="1"/>
    <xf numFmtId="171" fontId="2" fillId="0" borderId="0" xfId="0" applyNumberFormat="1" applyFont="1" applyProtection="1"/>
    <xf numFmtId="167" fontId="2" fillId="0" borderId="0" xfId="0" applyNumberFormat="1" applyFont="1" applyProtection="1"/>
    <xf numFmtId="167" fontId="2" fillId="0" borderId="6" xfId="0" applyNumberFormat="1" applyFont="1" applyBorder="1" applyProtection="1"/>
    <xf numFmtId="2" fontId="2" fillId="0" borderId="0" xfId="0" applyNumberFormat="1" applyFont="1" applyProtection="1"/>
    <xf numFmtId="2" fontId="2" fillId="0" borderId="6" xfId="0" applyNumberFormat="1" applyFont="1" applyBorder="1" applyProtection="1"/>
    <xf numFmtId="2" fontId="2" fillId="0" borderId="0" xfId="0" applyNumberFormat="1" applyFont="1" applyBorder="1" applyProtection="1"/>
    <xf numFmtId="169" fontId="2" fillId="0" borderId="0" xfId="0" applyNumberFormat="1" applyFont="1" applyProtection="1"/>
    <xf numFmtId="169" fontId="2" fillId="0" borderId="0" xfId="0" applyNumberFormat="1" applyFont="1" applyBorder="1" applyProtection="1"/>
    <xf numFmtId="165" fontId="2" fillId="0" borderId="6" xfId="0" applyNumberFormat="1" applyFont="1" applyBorder="1" applyProtection="1"/>
    <xf numFmtId="169" fontId="2" fillId="0" borderId="6" xfId="0" applyNumberFormat="1" applyFont="1" applyBorder="1" applyProtection="1"/>
    <xf numFmtId="167" fontId="7" fillId="0" borderId="0" xfId="0" applyNumberFormat="1" applyFont="1" applyProtection="1"/>
    <xf numFmtId="167" fontId="7" fillId="0" borderId="6" xfId="0" applyNumberFormat="1" applyFont="1" applyBorder="1" applyProtection="1"/>
    <xf numFmtId="168" fontId="2" fillId="0" borderId="0" xfId="0" applyNumberFormat="1" applyFont="1" applyProtection="1"/>
    <xf numFmtId="168" fontId="2" fillId="0" borderId="7" xfId="0" applyNumberFormat="1" applyFont="1" applyBorder="1" applyProtection="1"/>
    <xf numFmtId="168" fontId="2" fillId="0" borderId="0" xfId="0" applyNumberFormat="1" applyFont="1" applyBorder="1" applyProtection="1"/>
    <xf numFmtId="168" fontId="2" fillId="0" borderId="6" xfId="0" applyNumberFormat="1" applyFont="1" applyBorder="1" applyProtection="1"/>
    <xf numFmtId="167" fontId="2" fillId="0" borderId="0" xfId="0" applyNumberFormat="1" applyFont="1" applyAlignment="1" applyProtection="1">
      <alignment horizontal="center"/>
    </xf>
    <xf numFmtId="169" fontId="2" fillId="0" borderId="0" xfId="0" applyNumberFormat="1" applyFont="1" applyAlignment="1" applyProtection="1">
      <alignment horizontal="center"/>
    </xf>
    <xf numFmtId="165" fontId="2" fillId="0" borderId="0" xfId="0" applyNumberFormat="1" applyFont="1" applyAlignment="1" applyProtection="1">
      <alignment horizontal="center"/>
    </xf>
    <xf numFmtId="166" fontId="2" fillId="0" borderId="0" xfId="0" applyNumberFormat="1" applyFont="1" applyAlignment="1" applyProtection="1">
      <alignment horizontal="center"/>
    </xf>
    <xf numFmtId="166" fontId="2" fillId="0" borderId="7" xfId="0" applyNumberFormat="1" applyFont="1" applyBorder="1" applyAlignment="1" applyProtection="1">
      <alignment horizontal="center"/>
    </xf>
    <xf numFmtId="168" fontId="2" fillId="0" borderId="0" xfId="0" applyNumberFormat="1" applyFont="1" applyAlignment="1" applyProtection="1">
      <alignment horizontal="center"/>
    </xf>
    <xf numFmtId="168" fontId="2" fillId="0" borderId="7" xfId="0" applyNumberFormat="1" applyFont="1" applyBorder="1" applyAlignment="1" applyProtection="1">
      <alignment horizontal="center"/>
    </xf>
    <xf numFmtId="168" fontId="2" fillId="0" borderId="8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7" fontId="2" fillId="0" borderId="9" xfId="0" applyNumberFormat="1" applyFont="1" applyBorder="1" applyProtection="1"/>
    <xf numFmtId="167" fontId="2" fillId="0" borderId="0" xfId="0" applyNumberFormat="1" applyFont="1" applyBorder="1" applyProtection="1"/>
    <xf numFmtId="2" fontId="2" fillId="0" borderId="9" xfId="0" applyNumberFormat="1" applyFont="1" applyBorder="1" applyProtection="1"/>
    <xf numFmtId="168" fontId="2" fillId="0" borderId="8" xfId="0" applyNumberFormat="1" applyFont="1" applyBorder="1" applyProtection="1"/>
    <xf numFmtId="168" fontId="2" fillId="0" borderId="0" xfId="0" applyNumberFormat="1" applyFont="1" applyBorder="1" applyAlignment="1" applyProtection="1">
      <alignment horizontal="center"/>
    </xf>
    <xf numFmtId="167" fontId="2" fillId="0" borderId="3" xfId="0" applyNumberFormat="1" applyFont="1" applyBorder="1" applyProtection="1"/>
    <xf numFmtId="167" fontId="2" fillId="0" borderId="5" xfId="0" applyNumberFormat="1" applyFont="1" applyBorder="1" applyProtection="1"/>
    <xf numFmtId="2" fontId="2" fillId="0" borderId="4" xfId="0" applyNumberFormat="1" applyFont="1" applyBorder="1" applyProtection="1"/>
    <xf numFmtId="2" fontId="2" fillId="0" borderId="3" xfId="0" applyNumberFormat="1" applyFont="1" applyBorder="1" applyProtection="1"/>
    <xf numFmtId="2" fontId="2" fillId="0" borderId="5" xfId="0" applyNumberFormat="1" applyFont="1" applyBorder="1" applyProtection="1"/>
    <xf numFmtId="169" fontId="2" fillId="0" borderId="3" xfId="0" applyNumberFormat="1" applyFont="1" applyBorder="1" applyProtection="1"/>
    <xf numFmtId="169" fontId="2" fillId="0" borderId="5" xfId="0" applyNumberFormat="1" applyFont="1" applyBorder="1" applyProtection="1"/>
    <xf numFmtId="167" fontId="7" fillId="0" borderId="3" xfId="0" applyNumberFormat="1" applyFont="1" applyBorder="1" applyProtection="1"/>
    <xf numFmtId="167" fontId="7" fillId="0" borderId="5" xfId="0" applyNumberFormat="1" applyFont="1" applyBorder="1" applyProtection="1"/>
    <xf numFmtId="168" fontId="2" fillId="0" borderId="4" xfId="0" applyNumberFormat="1" applyFont="1" applyBorder="1" applyProtection="1"/>
    <xf numFmtId="168" fontId="2" fillId="0" borderId="3" xfId="0" applyNumberFormat="1" applyFont="1" applyBorder="1" applyProtection="1"/>
    <xf numFmtId="168" fontId="2" fillId="0" borderId="11" xfId="0" applyNumberFormat="1" applyFont="1" applyBorder="1" applyProtection="1"/>
    <xf numFmtId="168" fontId="2" fillId="0" borderId="12" xfId="0" applyNumberFormat="1" applyFont="1" applyBorder="1" applyProtection="1"/>
    <xf numFmtId="168" fontId="2" fillId="0" borderId="5" xfId="0" applyNumberFormat="1" applyFont="1" applyBorder="1" applyProtection="1"/>
    <xf numFmtId="167" fontId="2" fillId="0" borderId="4" xfId="0" applyNumberFormat="1" applyFont="1" applyBorder="1" applyAlignment="1" applyProtection="1">
      <alignment horizontal="center"/>
    </xf>
    <xf numFmtId="169" fontId="2" fillId="0" borderId="3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66" fontId="2" fillId="0" borderId="3" xfId="0" applyNumberFormat="1" applyFont="1" applyBorder="1" applyAlignment="1" applyProtection="1">
      <alignment horizontal="center"/>
    </xf>
    <xf numFmtId="166" fontId="2" fillId="0" borderId="11" xfId="0" applyNumberFormat="1" applyFont="1" applyBorder="1" applyAlignment="1" applyProtection="1">
      <alignment horizontal="center"/>
    </xf>
    <xf numFmtId="168" fontId="2" fillId="0" borderId="3" xfId="0" applyNumberFormat="1" applyFont="1" applyBorder="1" applyAlignment="1" applyProtection="1">
      <alignment horizontal="center"/>
    </xf>
    <xf numFmtId="168" fontId="2" fillId="0" borderId="11" xfId="0" applyNumberFormat="1" applyFont="1" applyBorder="1" applyAlignment="1" applyProtection="1">
      <alignment horizontal="center"/>
    </xf>
    <xf numFmtId="168" fontId="2" fillId="0" borderId="12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4" xfId="0" applyFont="1" applyBorder="1" applyProtection="1"/>
    <xf numFmtId="0" fontId="2" fillId="0" borderId="3" xfId="0" applyFont="1" applyBorder="1" applyProtection="1"/>
    <xf numFmtId="167" fontId="7" fillId="0" borderId="13" xfId="1" applyNumberFormat="1" applyFont="1" applyBorder="1" applyProtection="1"/>
    <xf numFmtId="167" fontId="7" fillId="0" borderId="14" xfId="1" applyNumberFormat="1" applyFont="1" applyBorder="1" applyProtection="1"/>
    <xf numFmtId="169" fontId="7" fillId="0" borderId="13" xfId="1" applyNumberFormat="1" applyFont="1" applyBorder="1" applyProtection="1"/>
    <xf numFmtId="169" fontId="7" fillId="0" borderId="15" xfId="1" applyNumberFormat="1" applyFont="1" applyBorder="1" applyProtection="1"/>
    <xf numFmtId="169" fontId="7" fillId="0" borderId="14" xfId="1" applyNumberFormat="1" applyFont="1" applyBorder="1" applyProtection="1"/>
    <xf numFmtId="167" fontId="2" fillId="0" borderId="15" xfId="0" applyNumberFormat="1" applyFont="1" applyBorder="1" applyProtection="1"/>
    <xf numFmtId="167" fontId="2" fillId="0" borderId="13" xfId="0" applyNumberFormat="1" applyFont="1" applyBorder="1" applyProtection="1"/>
    <xf numFmtId="0" fontId="2" fillId="0" borderId="13" xfId="0" applyFont="1" applyBorder="1" applyProtection="1"/>
    <xf numFmtId="167" fontId="2" fillId="0" borderId="2" xfId="0" applyNumberFormat="1" applyFont="1" applyBorder="1" applyProtection="1"/>
    <xf numFmtId="167" fontId="7" fillId="0" borderId="0" xfId="1" applyNumberFormat="1" applyFont="1" applyProtection="1"/>
    <xf numFmtId="167" fontId="7" fillId="0" borderId="6" xfId="1" applyNumberFormat="1" applyFont="1" applyBorder="1" applyProtection="1"/>
    <xf numFmtId="169" fontId="7" fillId="0" borderId="0" xfId="0" applyNumberFormat="1" applyFont="1" applyProtection="1"/>
    <xf numFmtId="0" fontId="7" fillId="0" borderId="0" xfId="0" applyFont="1" applyProtection="1"/>
    <xf numFmtId="166" fontId="7" fillId="0" borderId="0" xfId="1" applyNumberFormat="1" applyFont="1" applyAlignment="1" applyProtection="1">
      <alignment horizontal="right"/>
    </xf>
    <xf numFmtId="166" fontId="7" fillId="0" borderId="6" xfId="1" applyNumberFormat="1" applyFont="1" applyBorder="1" applyAlignment="1" applyProtection="1">
      <alignment horizontal="right"/>
    </xf>
    <xf numFmtId="167" fontId="2" fillId="0" borderId="9" xfId="0" applyNumberFormat="1" applyFont="1" applyBorder="1" applyAlignment="1" applyProtection="1">
      <alignment horizontal="center"/>
    </xf>
    <xf numFmtId="167" fontId="2" fillId="0" borderId="0" xfId="0" applyNumberFormat="1" applyFont="1" applyBorder="1" applyAlignment="1" applyProtection="1">
      <alignment horizontal="center"/>
    </xf>
    <xf numFmtId="2" fontId="7" fillId="0" borderId="0" xfId="1" applyNumberFormat="1" applyFont="1" applyAlignment="1" applyProtection="1">
      <alignment horizontal="right"/>
    </xf>
    <xf numFmtId="2" fontId="7" fillId="0" borderId="6" xfId="1" applyNumberFormat="1" applyFont="1" applyBorder="1" applyAlignment="1" applyProtection="1">
      <alignment horizontal="right"/>
    </xf>
    <xf numFmtId="2" fontId="7" fillId="0" borderId="0" xfId="1" applyNumberFormat="1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7" fillId="0" borderId="6" xfId="1" applyFont="1" applyBorder="1" applyAlignment="1" applyProtection="1">
      <alignment horizontal="right"/>
    </xf>
    <xf numFmtId="166" fontId="2" fillId="0" borderId="0" xfId="0" applyNumberFormat="1" applyFont="1" applyProtection="1"/>
    <xf numFmtId="166" fontId="2" fillId="0" borderId="6" xfId="0" applyNumberFormat="1" applyFont="1" applyBorder="1" applyProtection="1"/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  <xf numFmtId="2" fontId="7" fillId="0" borderId="9" xfId="1" applyNumberFormat="1" applyFont="1" applyBorder="1" applyAlignment="1" applyProtection="1">
      <alignment horizontal="right"/>
    </xf>
    <xf numFmtId="165" fontId="2" fillId="0" borderId="0" xfId="0" applyNumberFormat="1" applyFont="1" applyProtection="1"/>
    <xf numFmtId="3" fontId="2" fillId="0" borderId="9" xfId="0" applyNumberFormat="1" applyFont="1" applyBorder="1" applyAlignment="1" applyProtection="1">
      <alignment horizontal="center"/>
    </xf>
    <xf numFmtId="3" fontId="2" fillId="0" borderId="0" xfId="0" applyNumberFormat="1" applyFont="1" applyBorder="1" applyAlignment="1" applyProtection="1">
      <alignment horizontal="center"/>
    </xf>
    <xf numFmtId="3" fontId="2" fillId="0" borderId="0" xfId="0" applyNumberFormat="1" applyFont="1" applyAlignment="1" applyProtection="1">
      <alignment horizontal="center"/>
    </xf>
    <xf numFmtId="165" fontId="2" fillId="0" borderId="0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170" fontId="2" fillId="0" borderId="0" xfId="0" applyNumberFormat="1" applyFont="1" applyBorder="1" applyProtection="1"/>
    <xf numFmtId="167" fontId="7" fillId="0" borderId="9" xfId="1" applyNumberFormat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167" fontId="7" fillId="0" borderId="6" xfId="1" applyNumberFormat="1" applyFont="1" applyBorder="1" applyAlignment="1" applyProtection="1">
      <alignment horizontal="center"/>
    </xf>
    <xf numFmtId="2" fontId="2" fillId="0" borderId="0" xfId="0" applyNumberFormat="1" applyFont="1" applyAlignment="1" applyProtection="1">
      <alignment horizontal="center"/>
    </xf>
    <xf numFmtId="166" fontId="7" fillId="0" borderId="0" xfId="1" applyNumberFormat="1" applyFont="1" applyProtection="1"/>
    <xf numFmtId="166" fontId="7" fillId="0" borderId="6" xfId="1" applyNumberFormat="1" applyFont="1" applyBorder="1" applyProtection="1"/>
    <xf numFmtId="166" fontId="7" fillId="0" borderId="0" xfId="1" applyNumberFormat="1" applyFont="1" applyBorder="1" applyProtection="1"/>
    <xf numFmtId="168" fontId="2" fillId="0" borderId="6" xfId="0" applyNumberFormat="1" applyFont="1" applyBorder="1" applyAlignment="1" applyProtection="1">
      <alignment horizontal="center"/>
    </xf>
    <xf numFmtId="168" fontId="2" fillId="0" borderId="0" xfId="0" applyNumberFormat="1" applyFont="1" applyAlignment="1" applyProtection="1">
      <alignment horizontal="left"/>
    </xf>
    <xf numFmtId="0" fontId="2" fillId="0" borderId="7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0" xfId="0" applyNumberFormat="1" applyFont="1" applyBorder="1" applyProtection="1"/>
    <xf numFmtId="167" fontId="2" fillId="0" borderId="7" xfId="0" applyNumberFormat="1" applyFont="1" applyBorder="1" applyAlignment="1" applyProtection="1">
      <alignment horizontal="center"/>
    </xf>
    <xf numFmtId="167" fontId="2" fillId="0" borderId="8" xfId="0" applyNumberFormat="1" applyFont="1" applyBorder="1" applyAlignment="1" applyProtection="1">
      <alignment horizontal="center"/>
    </xf>
    <xf numFmtId="167" fontId="2" fillId="0" borderId="0" xfId="0" applyNumberFormat="1" applyFont="1" applyAlignment="1" applyProtection="1">
      <alignment horizontal="left"/>
    </xf>
    <xf numFmtId="165" fontId="2" fillId="0" borderId="3" xfId="0" applyNumberFormat="1" applyFont="1" applyBorder="1" applyProtection="1"/>
    <xf numFmtId="170" fontId="2" fillId="0" borderId="3" xfId="0" applyNumberFormat="1" applyFont="1" applyBorder="1" applyProtection="1"/>
    <xf numFmtId="0" fontId="2" fillId="0" borderId="3" xfId="0" applyFont="1" applyBorder="1" applyAlignment="1" applyProtection="1">
      <alignment horizontal="left"/>
    </xf>
    <xf numFmtId="11" fontId="2" fillId="0" borderId="0" xfId="0" applyNumberFormat="1" applyFont="1" applyAlignment="1" applyProtection="1">
      <alignment horizontal="right"/>
    </xf>
    <xf numFmtId="166" fontId="15" fillId="0" borderId="0" xfId="0" applyNumberFormat="1" applyFont="1" applyAlignment="1" applyProtection="1">
      <alignment horizontal="center"/>
    </xf>
    <xf numFmtId="2" fontId="15" fillId="0" borderId="0" xfId="0" applyNumberFormat="1" applyFont="1" applyAlignment="1" applyProtection="1">
      <alignment horizontal="center"/>
    </xf>
    <xf numFmtId="170" fontId="2" fillId="0" borderId="0" xfId="0" applyNumberFormat="1" applyFont="1" applyAlignment="1" applyProtection="1">
      <alignment horizontal="right"/>
    </xf>
    <xf numFmtId="170" fontId="2" fillId="0" borderId="0" xfId="0" applyNumberFormat="1" applyFont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center"/>
    </xf>
    <xf numFmtId="170" fontId="2" fillId="0" borderId="0" xfId="0" applyNumberFormat="1" applyFont="1" applyBorder="1" applyAlignment="1" applyProtection="1">
      <alignment horizontal="center"/>
    </xf>
    <xf numFmtId="170" fontId="2" fillId="0" borderId="3" xfId="0" applyNumberFormat="1" applyFont="1" applyBorder="1" applyAlignment="1" applyProtection="1">
      <alignment horizontal="center"/>
    </xf>
    <xf numFmtId="4" fontId="2" fillId="0" borderId="0" xfId="0" applyNumberFormat="1" applyFont="1" applyProtection="1"/>
    <xf numFmtId="172" fontId="2" fillId="0" borderId="0" xfId="0" applyNumberFormat="1" applyFont="1" applyProtection="1"/>
    <xf numFmtId="164" fontId="2" fillId="0" borderId="0" xfId="0" applyNumberFormat="1" applyFont="1" applyProtection="1"/>
    <xf numFmtId="0" fontId="4" fillId="0" borderId="0" xfId="0" applyFont="1" applyProtection="1"/>
    <xf numFmtId="167" fontId="2" fillId="0" borderId="6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right"/>
    </xf>
    <xf numFmtId="167" fontId="2" fillId="0" borderId="5" xfId="0" applyNumberFormat="1" applyFont="1" applyBorder="1" applyAlignment="1" applyProtection="1">
      <alignment horizontal="center"/>
    </xf>
    <xf numFmtId="166" fontId="2" fillId="0" borderId="6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left" readingOrder="1"/>
    </xf>
    <xf numFmtId="0" fontId="7" fillId="0" borderId="0" xfId="0" applyFont="1" applyAlignment="1" applyProtection="1">
      <alignment horizontal="right"/>
    </xf>
    <xf numFmtId="11" fontId="16" fillId="0" borderId="0" xfId="0" applyNumberFormat="1" applyFont="1" applyAlignment="1" applyProtection="1">
      <alignment horizontal="left" readingOrder="1"/>
    </xf>
    <xf numFmtId="2" fontId="2" fillId="0" borderId="6" xfId="0" applyNumberFormat="1" applyFont="1" applyBorder="1" applyAlignment="1" applyProtection="1">
      <alignment horizontal="center"/>
    </xf>
    <xf numFmtId="0" fontId="5" fillId="0" borderId="0" xfId="0" applyFont="1" applyProtection="1"/>
    <xf numFmtId="11" fontId="18" fillId="0" borderId="0" xfId="0" applyNumberFormat="1" applyFont="1" applyAlignment="1" applyProtection="1">
      <alignment horizontal="left" readingOrder="1"/>
    </xf>
    <xf numFmtId="167" fontId="2" fillId="0" borderId="3" xfId="0" applyNumberFormat="1" applyFont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center"/>
    </xf>
    <xf numFmtId="173" fontId="19" fillId="0" borderId="1" xfId="1" applyNumberFormat="1" applyFont="1" applyBorder="1" applyProtection="1"/>
    <xf numFmtId="0" fontId="20" fillId="0" borderId="16" xfId="1" applyFont="1" applyBorder="1" applyAlignment="1" applyProtection="1">
      <alignment horizontal="center" vertical="center"/>
    </xf>
    <xf numFmtId="49" fontId="22" fillId="0" borderId="20" xfId="2" applyNumberFormat="1" applyFont="1" applyFill="1" applyBorder="1" applyAlignment="1" applyProtection="1">
      <alignment horizontal="center"/>
    </xf>
    <xf numFmtId="0" fontId="23" fillId="0" borderId="0" xfId="1" applyFont="1" applyProtection="1"/>
    <xf numFmtId="173" fontId="19" fillId="0" borderId="9" xfId="1" applyNumberFormat="1" applyFont="1" applyBorder="1" applyProtection="1"/>
    <xf numFmtId="0" fontId="20" fillId="0" borderId="21" xfId="0" applyFont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23" fillId="3" borderId="10" xfId="3" applyBorder="1" applyProtection="1">
      <alignment horizontal="center" vertical="center"/>
      <protection locked="0"/>
    </xf>
    <xf numFmtId="0" fontId="23" fillId="0" borderId="21" xfId="1" applyFont="1" applyBorder="1" applyAlignment="1" applyProtection="1">
      <alignment vertical="center"/>
    </xf>
    <xf numFmtId="0" fontId="23" fillId="0" borderId="13" xfId="1" applyFont="1" applyBorder="1" applyAlignment="1" applyProtection="1">
      <alignment vertical="center"/>
    </xf>
    <xf numFmtId="0" fontId="0" fillId="0" borderId="26" xfId="0" applyFill="1" applyBorder="1" applyAlignment="1" applyProtection="1">
      <alignment horizontal="center" vertical="center"/>
    </xf>
    <xf numFmtId="2" fontId="23" fillId="0" borderId="0" xfId="1" applyNumberFormat="1" applyFont="1" applyProtection="1"/>
    <xf numFmtId="169" fontId="23" fillId="0" borderId="0" xfId="1" applyNumberFormat="1" applyFont="1" applyProtection="1"/>
    <xf numFmtId="0" fontId="23" fillId="0" borderId="13" xfId="1" applyFont="1" applyFill="1" applyBorder="1" applyAlignment="1" applyProtection="1">
      <alignment vertical="center"/>
    </xf>
    <xf numFmtId="0" fontId="23" fillId="0" borderId="26" xfId="1" applyFont="1" applyFill="1" applyBorder="1" applyAlignment="1" applyProtection="1">
      <alignment vertical="center"/>
    </xf>
    <xf numFmtId="173" fontId="19" fillId="0" borderId="9" xfId="0" applyNumberFormat="1" applyFont="1" applyBorder="1" applyProtection="1"/>
    <xf numFmtId="0" fontId="23" fillId="0" borderId="21" xfId="0" applyFont="1" applyBorder="1" applyAlignment="1" applyProtection="1">
      <alignment vertical="center"/>
    </xf>
    <xf numFmtId="0" fontId="23" fillId="3" borderId="14" xfId="3" applyFont="1" applyBorder="1" applyAlignment="1" applyProtection="1">
      <alignment horizontal="left" vertical="center"/>
      <protection locked="0"/>
    </xf>
    <xf numFmtId="167" fontId="23" fillId="0" borderId="13" xfId="0" applyNumberFormat="1" applyFont="1" applyFill="1" applyBorder="1" applyAlignment="1" applyProtection="1">
      <alignment vertical="center"/>
    </xf>
    <xf numFmtId="0" fontId="23" fillId="0" borderId="0" xfId="0" applyFont="1" applyProtection="1"/>
    <xf numFmtId="0" fontId="23" fillId="0" borderId="14" xfId="0" applyFont="1" applyBorder="1" applyAlignment="1" applyProtection="1">
      <alignment vertical="center"/>
    </xf>
    <xf numFmtId="0" fontId="23" fillId="3" borderId="3" xfId="3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</xf>
    <xf numFmtId="0" fontId="23" fillId="0" borderId="26" xfId="0" applyFont="1" applyFill="1" applyBorder="1" applyAlignment="1" applyProtection="1">
      <alignment vertical="center"/>
    </xf>
    <xf numFmtId="0" fontId="23" fillId="3" borderId="13" xfId="3" applyFont="1" applyBorder="1" applyAlignment="1" applyProtection="1">
      <alignment vertical="center"/>
      <protection locked="0"/>
    </xf>
    <xf numFmtId="167" fontId="23" fillId="0" borderId="13" xfId="0" applyNumberFormat="1" applyFont="1" applyFill="1" applyBorder="1" applyAlignment="1" applyProtection="1">
      <alignment horizontal="center" vertical="center"/>
    </xf>
    <xf numFmtId="0" fontId="23" fillId="0" borderId="26" xfId="0" applyFont="1" applyFill="1" applyBorder="1" applyAlignment="1" applyProtection="1">
      <alignment horizontal="center" vertical="center"/>
    </xf>
    <xf numFmtId="167" fontId="23" fillId="0" borderId="14" xfId="1" applyNumberFormat="1" applyFont="1" applyFill="1" applyBorder="1" applyAlignment="1" applyProtection="1">
      <alignment horizontal="right" vertical="center"/>
    </xf>
    <xf numFmtId="167" fontId="23" fillId="0" borderId="13" xfId="1" applyNumberFormat="1" applyFont="1" applyFill="1" applyBorder="1" applyAlignment="1" applyProtection="1">
      <alignment vertical="center"/>
    </xf>
    <xf numFmtId="167" fontId="23" fillId="0" borderId="13" xfId="1" applyNumberFormat="1" applyFont="1" applyFill="1" applyBorder="1" applyAlignment="1" applyProtection="1">
      <alignment horizontal="right" vertical="center"/>
    </xf>
    <xf numFmtId="0" fontId="23" fillId="0" borderId="14" xfId="1" applyFont="1" applyBorder="1" applyAlignment="1" applyProtection="1">
      <alignment vertical="center"/>
    </xf>
    <xf numFmtId="165" fontId="23" fillId="0" borderId="15" xfId="1" applyNumberFormat="1" applyFont="1" applyFill="1" applyBorder="1" applyAlignment="1" applyProtection="1">
      <alignment vertical="center"/>
    </xf>
    <xf numFmtId="165" fontId="23" fillId="0" borderId="13" xfId="1" applyNumberFormat="1" applyFont="1" applyFill="1" applyBorder="1" applyAlignment="1" applyProtection="1">
      <alignment vertical="center"/>
    </xf>
    <xf numFmtId="0" fontId="23" fillId="0" borderId="3" xfId="1" applyFont="1" applyBorder="1" applyAlignment="1" applyProtection="1">
      <alignment vertical="center"/>
    </xf>
    <xf numFmtId="0" fontId="23" fillId="0" borderId="4" xfId="1" applyFont="1" applyBorder="1" applyAlignment="1" applyProtection="1">
      <alignment vertical="center"/>
    </xf>
    <xf numFmtId="0" fontId="23" fillId="0" borderId="5" xfId="1" applyFont="1" applyBorder="1" applyAlignment="1" applyProtection="1">
      <alignment vertical="center"/>
    </xf>
    <xf numFmtId="167" fontId="23" fillId="0" borderId="4" xfId="1" applyNumberFormat="1" applyFont="1" applyFill="1" applyBorder="1" applyAlignment="1" applyProtection="1">
      <alignment vertical="center"/>
    </xf>
    <xf numFmtId="167" fontId="23" fillId="0" borderId="5" xfId="1" applyNumberFormat="1" applyFont="1" applyFill="1" applyBorder="1" applyAlignment="1" applyProtection="1">
      <alignment vertical="center"/>
    </xf>
    <xf numFmtId="0" fontId="20" fillId="0" borderId="21" xfId="1" applyFont="1" applyBorder="1" applyAlignment="1" applyProtection="1">
      <alignment vertical="center"/>
    </xf>
    <xf numFmtId="167" fontId="23" fillId="0" borderId="14" xfId="1" applyNumberFormat="1" applyFont="1" applyFill="1" applyBorder="1" applyAlignment="1" applyProtection="1">
      <alignment vertical="center"/>
    </xf>
    <xf numFmtId="0" fontId="23" fillId="0" borderId="28" xfId="1" applyFont="1" applyFill="1" applyBorder="1" applyAlignment="1" applyProtection="1">
      <alignment vertical="center"/>
    </xf>
    <xf numFmtId="0" fontId="23" fillId="0" borderId="1" xfId="1" applyFont="1" applyBorder="1" applyAlignment="1" applyProtection="1">
      <alignment vertical="center"/>
    </xf>
    <xf numFmtId="167" fontId="23" fillId="0" borderId="27" xfId="1" applyNumberFormat="1" applyFont="1" applyFill="1" applyBorder="1" applyAlignment="1" applyProtection="1">
      <alignment vertical="center"/>
    </xf>
    <xf numFmtId="0" fontId="23" fillId="0" borderId="2" xfId="1" applyFont="1" applyBorder="1" applyAlignment="1" applyProtection="1">
      <alignment vertical="center"/>
    </xf>
    <xf numFmtId="167" fontId="23" fillId="0" borderId="1" xfId="1" applyNumberFormat="1" applyFont="1" applyFill="1" applyBorder="1" applyAlignment="1" applyProtection="1">
      <alignment vertical="center"/>
    </xf>
    <xf numFmtId="167" fontId="23" fillId="0" borderId="0" xfId="1" applyNumberFormat="1" applyFont="1" applyFill="1" applyBorder="1" applyAlignment="1" applyProtection="1">
      <alignment vertical="center"/>
    </xf>
    <xf numFmtId="0" fontId="23" fillId="0" borderId="0" xfId="1" applyFont="1" applyBorder="1" applyAlignment="1" applyProtection="1">
      <alignment vertical="center"/>
    </xf>
    <xf numFmtId="167" fontId="23" fillId="0" borderId="6" xfId="1" applyNumberFormat="1" applyFont="1" applyFill="1" applyBorder="1" applyAlignment="1" applyProtection="1">
      <alignment vertical="center"/>
    </xf>
    <xf numFmtId="0" fontId="23" fillId="0" borderId="29" xfId="1" applyFont="1" applyFill="1" applyBorder="1" applyAlignment="1" applyProtection="1">
      <alignment vertical="center"/>
    </xf>
    <xf numFmtId="0" fontId="23" fillId="2" borderId="10" xfId="4" applyFont="1" applyProtection="1">
      <alignment horizontal="center" vertical="center"/>
    </xf>
    <xf numFmtId="0" fontId="23" fillId="0" borderId="15" xfId="1" applyFont="1" applyBorder="1" applyAlignment="1" applyProtection="1">
      <alignment vertical="center"/>
    </xf>
    <xf numFmtId="167" fontId="23" fillId="0" borderId="15" xfId="1" applyNumberFormat="1" applyFont="1" applyFill="1" applyBorder="1" applyAlignment="1" applyProtection="1">
      <alignment vertical="center"/>
    </xf>
    <xf numFmtId="0" fontId="23" fillId="0" borderId="13" xfId="3" applyFont="1" applyFill="1" applyBorder="1" applyAlignment="1" applyProtection="1">
      <alignment vertical="center"/>
    </xf>
    <xf numFmtId="0" fontId="23" fillId="0" borderId="14" xfId="3" applyFont="1" applyFill="1" applyBorder="1" applyAlignment="1" applyProtection="1">
      <alignment vertical="center"/>
    </xf>
    <xf numFmtId="0" fontId="23" fillId="0" borderId="30" xfId="1" applyFont="1" applyBorder="1" applyAlignment="1" applyProtection="1">
      <alignment vertical="center"/>
    </xf>
    <xf numFmtId="167" fontId="23" fillId="0" borderId="3" xfId="1" applyNumberFormat="1" applyFont="1" applyFill="1" applyBorder="1" applyAlignment="1" applyProtection="1">
      <alignment vertical="center"/>
    </xf>
    <xf numFmtId="167" fontId="23" fillId="0" borderId="34" xfId="1" applyNumberFormat="1" applyFont="1" applyFill="1" applyBorder="1" applyAlignment="1" applyProtection="1">
      <alignment vertical="center"/>
    </xf>
    <xf numFmtId="0" fontId="23" fillId="0" borderId="34" xfId="1" applyFont="1" applyBorder="1" applyAlignment="1" applyProtection="1">
      <alignment vertical="center"/>
    </xf>
    <xf numFmtId="0" fontId="23" fillId="0" borderId="3" xfId="1" applyFont="1" applyFill="1" applyBorder="1" applyAlignment="1" applyProtection="1">
      <alignment vertical="center"/>
    </xf>
    <xf numFmtId="173" fontId="19" fillId="0" borderId="0" xfId="1" applyNumberFormat="1" applyFont="1" applyAlignment="1" applyProtection="1">
      <alignment vertical="center"/>
    </xf>
    <xf numFmtId="0" fontId="20" fillId="0" borderId="0" xfId="1" applyFont="1" applyBorder="1" applyAlignment="1" applyProtection="1">
      <alignment vertical="center"/>
    </xf>
    <xf numFmtId="0" fontId="23" fillId="0" borderId="0" xfId="1" applyFont="1" applyAlignment="1" applyProtection="1">
      <alignment vertical="center"/>
    </xf>
    <xf numFmtId="173" fontId="19" fillId="0" borderId="0" xfId="1" applyNumberFormat="1" applyFont="1" applyProtection="1"/>
    <xf numFmtId="0" fontId="25" fillId="0" borderId="0" xfId="0" applyNumberFormat="1" applyFont="1" applyProtection="1"/>
    <xf numFmtId="2" fontId="25" fillId="0" borderId="0" xfId="0" applyNumberFormat="1" applyFont="1" applyAlignment="1" applyProtection="1">
      <alignment horizontal="center" vertical="center"/>
    </xf>
    <xf numFmtId="0" fontId="25" fillId="0" borderId="0" xfId="0" applyNumberFormat="1" applyFont="1" applyAlignment="1" applyProtection="1">
      <alignment horizontal="left" vertical="center"/>
    </xf>
    <xf numFmtId="167" fontId="25" fillId="0" borderId="0" xfId="0" applyNumberFormat="1" applyFont="1" applyAlignment="1" applyProtection="1">
      <alignment horizontal="center" vertical="center"/>
    </xf>
    <xf numFmtId="0" fontId="28" fillId="0" borderId="0" xfId="0" applyNumberFormat="1" applyFont="1" applyProtection="1"/>
    <xf numFmtId="2" fontId="25" fillId="0" borderId="35" xfId="0" applyNumberFormat="1" applyFont="1" applyBorder="1" applyAlignment="1" applyProtection="1">
      <alignment horizontal="center" vertical="center"/>
    </xf>
    <xf numFmtId="0" fontId="23" fillId="0" borderId="0" xfId="3" applyNumberFormat="1" applyFont="1" applyFill="1" applyBorder="1" applyAlignment="1" applyProtection="1"/>
    <xf numFmtId="2" fontId="25" fillId="0" borderId="36" xfId="0" applyNumberFormat="1" applyFont="1" applyBorder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vertical="center" textRotation="90"/>
    </xf>
    <xf numFmtId="0" fontId="25" fillId="0" borderId="2" xfId="0" applyNumberFormat="1" applyFont="1" applyBorder="1" applyAlignment="1" applyProtection="1">
      <alignment vertical="center"/>
    </xf>
    <xf numFmtId="0" fontId="25" fillId="0" borderId="6" xfId="0" applyNumberFormat="1" applyFont="1" applyBorder="1" applyProtection="1"/>
    <xf numFmtId="2" fontId="25" fillId="0" borderId="0" xfId="0" applyNumberFormat="1" applyFont="1" applyProtection="1"/>
    <xf numFmtId="0" fontId="25" fillId="0" borderId="6" xfId="0" applyNumberFormat="1" applyFont="1" applyBorder="1" applyAlignment="1" applyProtection="1">
      <alignment vertical="center"/>
    </xf>
    <xf numFmtId="0" fontId="25" fillId="0" borderId="0" xfId="0" applyNumberFormat="1" applyFont="1" applyBorder="1" applyProtection="1"/>
    <xf numFmtId="0" fontId="25" fillId="0" borderId="0" xfId="0" applyNumberFormat="1" applyFont="1" applyBorder="1" applyAlignment="1" applyProtection="1">
      <alignment horizontal="right" vertical="center"/>
    </xf>
    <xf numFmtId="0" fontId="31" fillId="0" borderId="36" xfId="0" applyNumberFormat="1" applyFont="1" applyBorder="1" applyAlignment="1" applyProtection="1">
      <alignment horizontal="center" vertical="center"/>
    </xf>
    <xf numFmtId="0" fontId="31" fillId="0" borderId="0" xfId="0" applyNumberFormat="1" applyFont="1" applyProtection="1"/>
    <xf numFmtId="167" fontId="25" fillId="0" borderId="37" xfId="0" applyNumberFormat="1" applyFont="1" applyBorder="1" applyAlignment="1" applyProtection="1">
      <alignment horizontal="center" vertical="center"/>
    </xf>
    <xf numFmtId="0" fontId="25" fillId="0" borderId="5" xfId="0" applyNumberFormat="1" applyFont="1" applyBorder="1" applyAlignment="1" applyProtection="1">
      <alignment vertical="center"/>
    </xf>
    <xf numFmtId="0" fontId="35" fillId="0" borderId="0" xfId="0" applyFont="1"/>
    <xf numFmtId="0" fontId="36" fillId="0" borderId="20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26" xfId="6" applyFont="1" applyFill="1" applyBorder="1" applyAlignment="1">
      <alignment vertical="center"/>
      <protection locked="0"/>
    </xf>
    <xf numFmtId="0" fontId="36" fillId="0" borderId="41" xfId="0" applyFont="1" applyBorder="1" applyAlignment="1">
      <alignment horizontal="left" vertical="center"/>
    </xf>
    <xf numFmtId="0" fontId="36" fillId="0" borderId="41" xfId="0" applyFont="1" applyBorder="1" applyAlignment="1">
      <alignment horizontal="left" vertical="center" wrapText="1"/>
    </xf>
    <xf numFmtId="0" fontId="36" fillId="0" borderId="21" xfId="6" applyFont="1" applyFill="1" applyBorder="1" applyAlignment="1">
      <alignment horizontal="center" vertical="center"/>
      <protection locked="0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1" fontId="36" fillId="0" borderId="21" xfId="0" applyNumberFormat="1" applyFont="1" applyBorder="1" applyAlignment="1">
      <alignment horizontal="center" vertical="center"/>
    </xf>
    <xf numFmtId="0" fontId="36" fillId="0" borderId="13" xfId="0" applyFont="1" applyBorder="1"/>
    <xf numFmtId="0" fontId="0" fillId="0" borderId="35" xfId="0" applyBorder="1" applyAlignment="1">
      <alignment horizontal="center" vertical="center"/>
    </xf>
    <xf numFmtId="0" fontId="36" fillId="0" borderId="13" xfId="0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36" fillId="0" borderId="44" xfId="0" applyFont="1" applyBorder="1" applyAlignment="1">
      <alignment horizontal="left" vertical="center"/>
    </xf>
    <xf numFmtId="0" fontId="36" fillId="0" borderId="27" xfId="0" applyFont="1" applyFill="1" applyBorder="1" applyAlignment="1">
      <alignment vertical="center"/>
    </xf>
    <xf numFmtId="0" fontId="36" fillId="0" borderId="27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167" fontId="36" fillId="0" borderId="45" xfId="0" applyNumberFormat="1" applyFont="1" applyBorder="1" applyAlignment="1">
      <alignment horizontal="center" vertical="center"/>
    </xf>
    <xf numFmtId="167" fontId="36" fillId="0" borderId="31" xfId="0" applyNumberFormat="1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13" xfId="0" applyFont="1" applyBorder="1" applyAlignment="1"/>
    <xf numFmtId="0" fontId="35" fillId="0" borderId="13" xfId="0" applyFont="1" applyBorder="1" applyAlignment="1"/>
    <xf numFmtId="0" fontId="35" fillId="0" borderId="26" xfId="0" applyFont="1" applyBorder="1" applyAlignment="1"/>
    <xf numFmtId="0" fontId="36" fillId="0" borderId="31" xfId="0" applyFont="1" applyBorder="1" applyAlignment="1"/>
    <xf numFmtId="0" fontId="35" fillId="0" borderId="31" xfId="0" applyFont="1" applyBorder="1" applyAlignment="1"/>
    <xf numFmtId="0" fontId="35" fillId="0" borderId="58" xfId="0" applyFont="1" applyBorder="1" applyAlignment="1"/>
    <xf numFmtId="0" fontId="35" fillId="4" borderId="10" xfId="6" applyAlignment="1">
      <alignment horizontal="center" vertical="center"/>
      <protection locked="0"/>
    </xf>
    <xf numFmtId="0" fontId="35" fillId="4" borderId="10" xfId="6" applyAlignment="1">
      <alignment horizontal="center"/>
      <protection locked="0"/>
    </xf>
    <xf numFmtId="0" fontId="35" fillId="4" borderId="10" xfId="6" applyAlignment="1">
      <alignment horizontal="center" vertical="center"/>
      <protection locked="0"/>
    </xf>
    <xf numFmtId="0" fontId="35" fillId="4" borderId="10" xfId="6">
      <alignment horizontal="center" vertical="center"/>
      <protection locked="0"/>
    </xf>
    <xf numFmtId="167" fontId="36" fillId="0" borderId="37" xfId="0" applyNumberFormat="1" applyFont="1" applyBorder="1" applyAlignment="1" applyProtection="1">
      <alignment horizontal="center" vertical="center"/>
      <protection locked="0"/>
    </xf>
    <xf numFmtId="167" fontId="36" fillId="0" borderId="5" xfId="0" applyNumberFormat="1" applyFont="1" applyBorder="1" applyAlignment="1" applyProtection="1">
      <alignment horizontal="center" vertical="center"/>
      <protection locked="0"/>
    </xf>
    <xf numFmtId="2" fontId="36" fillId="0" borderId="37" xfId="0" applyNumberFormat="1" applyFont="1" applyBorder="1" applyAlignment="1" applyProtection="1">
      <alignment horizontal="center" vertical="center"/>
      <protection locked="0"/>
    </xf>
    <xf numFmtId="167" fontId="36" fillId="0" borderId="10" xfId="0" applyNumberFormat="1" applyFont="1" applyBorder="1" applyAlignment="1" applyProtection="1">
      <alignment horizontal="center" vertical="center"/>
      <protection locked="0"/>
    </xf>
    <xf numFmtId="167" fontId="36" fillId="0" borderId="14" xfId="0" applyNumberFormat="1" applyFont="1" applyBorder="1" applyAlignment="1" applyProtection="1">
      <alignment horizontal="center" vertical="center"/>
      <protection locked="0"/>
    </xf>
    <xf numFmtId="2" fontId="36" fillId="0" borderId="10" xfId="0" applyNumberFormat="1" applyFont="1" applyBorder="1" applyAlignment="1" applyProtection="1">
      <alignment horizontal="center" vertical="center"/>
      <protection locked="0"/>
    </xf>
    <xf numFmtId="167" fontId="36" fillId="0" borderId="14" xfId="0" applyNumberFormat="1" applyFont="1" applyBorder="1" applyAlignment="1" applyProtection="1">
      <alignment horizontal="center"/>
      <protection locked="0"/>
    </xf>
    <xf numFmtId="167" fontId="36" fillId="0" borderId="2" xfId="0" applyNumberFormat="1" applyFont="1" applyBorder="1" applyAlignment="1" applyProtection="1">
      <alignment horizontal="center"/>
      <protection locked="0"/>
    </xf>
    <xf numFmtId="2" fontId="36" fillId="0" borderId="35" xfId="0" applyNumberFormat="1" applyFont="1" applyBorder="1" applyAlignment="1" applyProtection="1">
      <alignment horizontal="center" vertical="center"/>
      <protection locked="0"/>
    </xf>
    <xf numFmtId="3" fontId="36" fillId="0" borderId="37" xfId="0" applyNumberFormat="1" applyFont="1" applyBorder="1" applyAlignment="1" applyProtection="1">
      <alignment horizontal="center" vertical="center"/>
      <protection locked="0"/>
    </xf>
    <xf numFmtId="0" fontId="35" fillId="5" borderId="37" xfId="7" applyBorder="1" applyAlignment="1">
      <alignment horizontal="center" vertical="center" wrapText="1"/>
      <protection locked="0"/>
    </xf>
    <xf numFmtId="0" fontId="35" fillId="4" borderId="37" xfId="6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35" fillId="4" borderId="37" xfId="6" applyBorder="1" applyAlignment="1">
      <alignment horizontal="center" vertical="center"/>
      <protection locked="0"/>
    </xf>
    <xf numFmtId="166" fontId="36" fillId="0" borderId="36" xfId="0" applyNumberFormat="1" applyFont="1" applyFill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 wrapText="1"/>
    </xf>
    <xf numFmtId="0" fontId="35" fillId="4" borderId="40" xfId="6" applyBorder="1" applyAlignment="1">
      <alignment horizontal="center" vertical="center"/>
      <protection locked="0"/>
    </xf>
    <xf numFmtId="0" fontId="35" fillId="5" borderId="10" xfId="7" applyAlignment="1">
      <protection locked="0"/>
    </xf>
    <xf numFmtId="0" fontId="35" fillId="4" borderId="10" xfId="6" applyAlignment="1">
      <protection locked="0"/>
    </xf>
    <xf numFmtId="49" fontId="35" fillId="0" borderId="0" xfId="0" quotePrefix="1" applyNumberFormat="1" applyFont="1"/>
    <xf numFmtId="0" fontId="25" fillId="0" borderId="36" xfId="0" applyNumberFormat="1" applyFont="1" applyBorder="1" applyAlignment="1" applyProtection="1">
      <alignment vertical="center"/>
    </xf>
    <xf numFmtId="2" fontId="35" fillId="0" borderId="0" xfId="0" applyNumberFormat="1" applyFont="1"/>
    <xf numFmtId="0" fontId="25" fillId="0" borderId="0" xfId="0" applyNumberFormat="1" applyFont="1" applyAlignment="1" applyProtection="1">
      <alignment horizontal="right" vertical="center"/>
    </xf>
    <xf numFmtId="0" fontId="36" fillId="0" borderId="13" xfId="0" applyFont="1" applyBorder="1" applyAlignment="1">
      <alignment vertical="center"/>
    </xf>
    <xf numFmtId="0" fontId="36" fillId="0" borderId="26" xfId="0" applyFont="1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6" fillId="0" borderId="38" xfId="6" applyFont="1" applyFill="1" applyBorder="1" applyAlignment="1">
      <alignment horizontal="left" vertical="center"/>
      <protection locked="0"/>
    </xf>
    <xf numFmtId="0" fontId="36" fillId="0" borderId="39" xfId="6" applyFont="1" applyFill="1" applyBorder="1" applyAlignment="1">
      <alignment horizontal="left" vertical="center"/>
      <protection locked="0"/>
    </xf>
    <xf numFmtId="0" fontId="36" fillId="0" borderId="40" xfId="6" applyFont="1" applyFill="1" applyBorder="1" applyAlignment="1">
      <alignment horizontal="left" vertical="center"/>
      <protection locked="0"/>
    </xf>
    <xf numFmtId="0" fontId="35" fillId="5" borderId="10" xfId="7" applyAlignment="1">
      <alignment horizontal="left" vertical="center"/>
      <protection locked="0"/>
    </xf>
    <xf numFmtId="0" fontId="36" fillId="0" borderId="42" xfId="6" applyFont="1" applyFill="1" applyBorder="1" applyAlignment="1">
      <alignment horizontal="left" vertical="center"/>
      <protection locked="0"/>
    </xf>
    <xf numFmtId="0" fontId="36" fillId="0" borderId="10" xfId="6" applyFont="1" applyFill="1" applyBorder="1" applyAlignment="1">
      <alignment horizontal="left" vertical="center"/>
      <protection locked="0"/>
    </xf>
    <xf numFmtId="0" fontId="36" fillId="0" borderId="43" xfId="6" applyFont="1" applyFill="1" applyBorder="1" applyAlignment="1">
      <alignment horizontal="left" vertical="center"/>
      <protection locked="0"/>
    </xf>
    <xf numFmtId="0" fontId="36" fillId="0" borderId="13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5" fillId="4" borderId="62" xfId="6" applyBorder="1" applyAlignment="1">
      <alignment horizontal="center" vertical="center"/>
      <protection locked="0"/>
    </xf>
    <xf numFmtId="0" fontId="35" fillId="4" borderId="63" xfId="6" applyBorder="1" applyAlignment="1">
      <alignment horizontal="center" vertical="center"/>
      <protection locked="0"/>
    </xf>
    <xf numFmtId="0" fontId="36" fillId="0" borderId="13" xfId="0" applyFont="1" applyBorder="1"/>
    <xf numFmtId="0" fontId="36" fillId="0" borderId="26" xfId="0" applyFont="1" applyBorder="1"/>
    <xf numFmtId="0" fontId="35" fillId="5" borderId="10" xfId="7" applyAlignment="1">
      <alignment horizontal="center" vertical="center"/>
      <protection locked="0"/>
    </xf>
    <xf numFmtId="0" fontId="36" fillId="0" borderId="13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167" fontId="36" fillId="0" borderId="21" xfId="0" applyNumberFormat="1" applyFont="1" applyBorder="1" applyAlignment="1">
      <alignment horizontal="center" vertical="center"/>
    </xf>
    <xf numFmtId="167" fontId="36" fillId="0" borderId="13" xfId="0" applyNumberFormat="1" applyFont="1" applyBorder="1" applyAlignment="1">
      <alignment horizontal="center" vertical="center"/>
    </xf>
    <xf numFmtId="0" fontId="25" fillId="0" borderId="27" xfId="0" applyNumberFormat="1" applyFont="1" applyBorder="1" applyAlignment="1" applyProtection="1">
      <alignment horizontal="right" vertical="center"/>
    </xf>
    <xf numFmtId="0" fontId="25" fillId="0" borderId="2" xfId="0" applyNumberFormat="1" applyFont="1" applyBorder="1" applyAlignment="1" applyProtection="1">
      <alignment horizontal="right" vertical="center"/>
    </xf>
    <xf numFmtId="0" fontId="25" fillId="0" borderId="0" xfId="0" applyNumberFormat="1" applyFont="1" applyAlignment="1" applyProtection="1">
      <alignment horizontal="right" vertical="center"/>
    </xf>
    <xf numFmtId="0" fontId="24" fillId="0" borderId="0" xfId="0" applyNumberFormat="1" applyFont="1" applyAlignment="1" applyProtection="1">
      <alignment horizontal="left" vertical="center"/>
    </xf>
    <xf numFmtId="0" fontId="26" fillId="0" borderId="0" xfId="0" applyNumberFormat="1" applyFont="1" applyAlignment="1" applyProtection="1">
      <alignment horizontal="left" vertical="center"/>
    </xf>
    <xf numFmtId="0" fontId="28" fillId="0" borderId="1" xfId="0" applyNumberFormat="1" applyFont="1" applyBorder="1" applyAlignment="1" applyProtection="1">
      <alignment horizontal="center" vertical="center" textRotation="90" wrapText="1"/>
    </xf>
    <xf numFmtId="0" fontId="28" fillId="0" borderId="9" xfId="0" applyNumberFormat="1" applyFont="1" applyBorder="1" applyAlignment="1" applyProtection="1">
      <alignment horizontal="center" vertical="center" textRotation="90" wrapText="1"/>
    </xf>
    <xf numFmtId="0" fontId="28" fillId="0" borderId="4" xfId="0" applyNumberFormat="1" applyFont="1" applyBorder="1" applyAlignment="1" applyProtection="1">
      <alignment horizontal="center" vertical="center" textRotation="90" wrapText="1"/>
    </xf>
    <xf numFmtId="0" fontId="25" fillId="0" borderId="0" xfId="0" applyNumberFormat="1" applyFont="1" applyBorder="1" applyAlignment="1" applyProtection="1">
      <alignment horizontal="right" vertical="center"/>
    </xf>
    <xf numFmtId="0" fontId="25" fillId="0" borderId="3" xfId="0" applyNumberFormat="1" applyFont="1" applyBorder="1" applyAlignment="1" applyProtection="1">
      <alignment horizontal="right" vertical="center"/>
    </xf>
    <xf numFmtId="0" fontId="25" fillId="0" borderId="5" xfId="0" applyNumberFormat="1" applyFont="1" applyBorder="1" applyAlignment="1" applyProtection="1">
      <alignment horizontal="right" vertical="center"/>
    </xf>
    <xf numFmtId="0" fontId="23" fillId="0" borderId="13" xfId="3" applyFont="1" applyFill="1" applyBorder="1" applyAlignment="1" applyProtection="1">
      <alignment horizontal="left" vertical="center"/>
      <protection locked="0"/>
    </xf>
    <xf numFmtId="0" fontId="23" fillId="0" borderId="14" xfId="3" applyFont="1" applyFill="1" applyBorder="1" applyAlignment="1" applyProtection="1">
      <alignment horizontal="left" vertical="center"/>
      <protection locked="0"/>
    </xf>
    <xf numFmtId="166" fontId="23" fillId="0" borderId="10" xfId="4" applyNumberFormat="1" applyFont="1" applyFill="1">
      <alignment horizontal="center" vertical="center"/>
      <protection locked="0"/>
    </xf>
    <xf numFmtId="166" fontId="23" fillId="2" borderId="15" xfId="4" applyNumberFormat="1" applyFont="1" applyBorder="1" applyAlignment="1" applyProtection="1">
      <alignment horizontal="center" vertical="center"/>
      <protection locked="0"/>
    </xf>
    <xf numFmtId="166" fontId="23" fillId="2" borderId="13" xfId="4" applyNumberFormat="1" applyFont="1" applyBorder="1" applyAlignment="1" applyProtection="1">
      <alignment horizontal="center" vertical="center"/>
      <protection locked="0"/>
    </xf>
    <xf numFmtId="166" fontId="23" fillId="2" borderId="14" xfId="4" applyNumberFormat="1" applyFont="1" applyBorder="1" applyAlignment="1" applyProtection="1">
      <alignment horizontal="center" vertical="center"/>
      <protection locked="0"/>
    </xf>
    <xf numFmtId="166" fontId="23" fillId="2" borderId="26" xfId="4" applyNumberFormat="1" applyFont="1" applyBorder="1" applyAlignment="1" applyProtection="1">
      <alignment horizontal="center" vertical="center"/>
      <protection locked="0"/>
    </xf>
    <xf numFmtId="167" fontId="23" fillId="0" borderId="10" xfId="4" applyNumberFormat="1" applyFont="1" applyFill="1">
      <alignment horizontal="center" vertical="center"/>
      <protection locked="0"/>
    </xf>
    <xf numFmtId="167" fontId="23" fillId="0" borderId="15" xfId="0" applyNumberFormat="1" applyFont="1" applyFill="1" applyBorder="1" applyAlignment="1" applyProtection="1">
      <alignment horizontal="center" vertical="center"/>
    </xf>
    <xf numFmtId="167" fontId="23" fillId="0" borderId="13" xfId="0" applyNumberFormat="1" applyFont="1" applyFill="1" applyBorder="1" applyAlignment="1" applyProtection="1">
      <alignment horizontal="center" vertical="center"/>
    </xf>
    <xf numFmtId="167" fontId="23" fillId="0" borderId="14" xfId="0" applyNumberFormat="1" applyFont="1" applyFill="1" applyBorder="1" applyAlignment="1" applyProtection="1">
      <alignment horizontal="center" vertical="center"/>
    </xf>
    <xf numFmtId="167" fontId="23" fillId="2" borderId="15" xfId="4" applyNumberFormat="1" applyFont="1" applyBorder="1" applyAlignment="1" applyProtection="1">
      <alignment horizontal="center" vertical="center"/>
      <protection locked="0"/>
    </xf>
    <xf numFmtId="167" fontId="23" fillId="2" borderId="13" xfId="4" applyNumberFormat="1" applyFont="1" applyBorder="1" applyAlignment="1" applyProtection="1">
      <alignment horizontal="center" vertical="center"/>
      <protection locked="0"/>
    </xf>
    <xf numFmtId="167" fontId="23" fillId="2" borderId="26" xfId="4" applyNumberFormat="1" applyFont="1" applyBorder="1" applyAlignment="1" applyProtection="1">
      <alignment horizontal="center" vertical="center"/>
      <protection locked="0"/>
    </xf>
    <xf numFmtId="0" fontId="21" fillId="0" borderId="17" xfId="1" applyFont="1" applyBorder="1" applyAlignment="1" applyProtection="1">
      <alignment horizontal="left" vertical="center"/>
    </xf>
    <xf numFmtId="0" fontId="21" fillId="0" borderId="18" xfId="1" applyFont="1" applyBorder="1" applyAlignment="1" applyProtection="1">
      <alignment horizontal="left" vertical="center"/>
    </xf>
    <xf numFmtId="0" fontId="21" fillId="0" borderId="19" xfId="1" applyFont="1" applyBorder="1" applyAlignment="1" applyProtection="1">
      <alignment horizontal="left" vertical="center"/>
    </xf>
    <xf numFmtId="0" fontId="21" fillId="0" borderId="16" xfId="1" applyFont="1" applyBorder="1" applyAlignment="1" applyProtection="1">
      <alignment horizontal="left" vertical="center"/>
    </xf>
    <xf numFmtId="0" fontId="21" fillId="0" borderId="22" xfId="1" applyFont="1" applyBorder="1" applyAlignment="1" applyProtection="1">
      <alignment horizontal="left" vertical="center"/>
    </xf>
    <xf numFmtId="0" fontId="21" fillId="0" borderId="23" xfId="1" applyFont="1" applyBorder="1" applyAlignment="1" applyProtection="1">
      <alignment horizontal="left" vertical="center"/>
    </xf>
    <xf numFmtId="0" fontId="21" fillId="0" borderId="24" xfId="1" applyFont="1" applyBorder="1" applyAlignment="1" applyProtection="1">
      <alignment horizontal="center" vertical="center"/>
    </xf>
    <xf numFmtId="0" fontId="21" fillId="0" borderId="22" xfId="1" applyFont="1" applyBorder="1" applyAlignment="1" applyProtection="1">
      <alignment horizontal="center" vertical="center"/>
    </xf>
    <xf numFmtId="0" fontId="21" fillId="0" borderId="23" xfId="1" applyFont="1" applyBorder="1" applyAlignment="1" applyProtection="1">
      <alignment horizontal="center" vertical="center"/>
    </xf>
    <xf numFmtId="0" fontId="21" fillId="0" borderId="25" xfId="1" applyFont="1" applyBorder="1" applyAlignment="1" applyProtection="1">
      <alignment horizontal="center" vertical="center"/>
    </xf>
    <xf numFmtId="0" fontId="23" fillId="3" borderId="13" xfId="3" applyFont="1" applyBorder="1" applyAlignment="1" applyProtection="1">
      <alignment horizontal="left" vertical="center"/>
      <protection locked="0"/>
    </xf>
    <xf numFmtId="0" fontId="23" fillId="3" borderId="26" xfId="3" applyFont="1" applyBorder="1" applyAlignment="1" applyProtection="1">
      <alignment horizontal="left" vertical="center"/>
      <protection locked="0"/>
    </xf>
    <xf numFmtId="0" fontId="23" fillId="0" borderId="13" xfId="0" applyNumberFormat="1" applyFont="1" applyBorder="1" applyAlignment="1" applyProtection="1">
      <alignment horizontal="left" vertical="center"/>
    </xf>
    <xf numFmtId="0" fontId="23" fillId="0" borderId="14" xfId="0" applyNumberFormat="1" applyFont="1" applyBorder="1" applyAlignment="1" applyProtection="1">
      <alignment horizontal="left" vertical="center"/>
    </xf>
    <xf numFmtId="170" fontId="23" fillId="2" borderId="10" xfId="4" applyNumberFormat="1" applyFont="1" applyBorder="1" applyAlignment="1" applyProtection="1">
      <alignment horizontal="right" vertical="center"/>
      <protection locked="0"/>
    </xf>
    <xf numFmtId="170" fontId="23" fillId="2" borderId="15" xfId="4" applyNumberFormat="1" applyFont="1" applyBorder="1" applyAlignment="1" applyProtection="1">
      <alignment horizontal="right" vertical="center"/>
      <protection locked="0"/>
    </xf>
    <xf numFmtId="0" fontId="23" fillId="3" borderId="14" xfId="3" applyFont="1" applyBorder="1" applyAlignment="1" applyProtection="1">
      <alignment horizontal="left" vertical="center"/>
      <protection locked="0"/>
    </xf>
    <xf numFmtId="165" fontId="23" fillId="0" borderId="15" xfId="0" applyNumberFormat="1" applyFont="1" applyBorder="1" applyAlignment="1" applyProtection="1">
      <alignment horizontal="right" vertical="center"/>
    </xf>
    <xf numFmtId="165" fontId="23" fillId="0" borderId="13" xfId="0" applyNumberFormat="1" applyFont="1" applyBorder="1" applyAlignment="1" applyProtection="1">
      <alignment horizontal="right" vertical="center"/>
    </xf>
    <xf numFmtId="165" fontId="23" fillId="2" borderId="10" xfId="4" applyNumberFormat="1" applyFont="1" applyBorder="1" applyAlignment="1" applyProtection="1">
      <alignment horizontal="right" vertical="center"/>
      <protection locked="0"/>
    </xf>
    <xf numFmtId="165" fontId="23" fillId="2" borderId="15" xfId="4" applyNumberFormat="1" applyFont="1" applyBorder="1" applyAlignment="1" applyProtection="1">
      <alignment horizontal="right" vertical="center"/>
      <protection locked="0"/>
    </xf>
    <xf numFmtId="0" fontId="21" fillId="0" borderId="15" xfId="1" applyFont="1" applyBorder="1" applyAlignment="1" applyProtection="1">
      <alignment horizontal="center" vertical="center"/>
    </xf>
    <xf numFmtId="0" fontId="21" fillId="0" borderId="13" xfId="1" applyFont="1" applyBorder="1" applyAlignment="1" applyProtection="1">
      <alignment horizontal="center" vertical="center"/>
    </xf>
    <xf numFmtId="0" fontId="21" fillId="0" borderId="14" xfId="1" applyFont="1" applyBorder="1" applyAlignment="1" applyProtection="1">
      <alignment horizontal="center" vertical="center"/>
    </xf>
    <xf numFmtId="0" fontId="21" fillId="0" borderId="1" xfId="1" applyFont="1" applyBorder="1" applyAlignment="1" applyProtection="1">
      <alignment horizontal="center" vertical="center"/>
    </xf>
    <xf numFmtId="0" fontId="21" fillId="0" borderId="27" xfId="1" applyFont="1" applyBorder="1" applyAlignment="1" applyProtection="1">
      <alignment horizontal="center" vertical="center"/>
    </xf>
    <xf numFmtId="0" fontId="21" fillId="0" borderId="2" xfId="1" applyFont="1" applyBorder="1" applyAlignment="1" applyProtection="1">
      <alignment horizontal="center" vertical="center"/>
    </xf>
    <xf numFmtId="165" fontId="23" fillId="0" borderId="13" xfId="0" applyNumberFormat="1" applyFont="1" applyFill="1" applyBorder="1" applyAlignment="1" applyProtection="1">
      <alignment horizontal="right" vertical="center"/>
    </xf>
    <xf numFmtId="2" fontId="23" fillId="2" borderId="10" xfId="4" applyNumberFormat="1" applyFont="1">
      <alignment horizontal="center" vertical="center"/>
      <protection locked="0"/>
    </xf>
    <xf numFmtId="4" fontId="23" fillId="0" borderId="13" xfId="1" applyNumberFormat="1" applyFont="1" applyFill="1" applyBorder="1" applyAlignment="1" applyProtection="1">
      <alignment horizontal="center" vertical="center"/>
    </xf>
    <xf numFmtId="4" fontId="23" fillId="0" borderId="15" xfId="1" applyNumberFormat="1" applyFont="1" applyFill="1" applyBorder="1" applyAlignment="1" applyProtection="1">
      <alignment horizontal="center" vertical="center"/>
    </xf>
    <xf numFmtId="4" fontId="23" fillId="0" borderId="26" xfId="1" applyNumberFormat="1" applyFont="1" applyFill="1" applyBorder="1" applyAlignment="1" applyProtection="1">
      <alignment horizontal="center" vertical="center"/>
    </xf>
    <xf numFmtId="165" fontId="23" fillId="0" borderId="15" xfId="1" applyNumberFormat="1" applyFont="1" applyFill="1" applyBorder="1" applyAlignment="1" applyProtection="1">
      <alignment horizontal="right" vertical="center"/>
    </xf>
    <xf numFmtId="165" fontId="23" fillId="0" borderId="13" xfId="1" applyNumberFormat="1" applyFont="1" applyFill="1" applyBorder="1" applyAlignment="1" applyProtection="1">
      <alignment horizontal="right" vertical="center"/>
    </xf>
    <xf numFmtId="165" fontId="23" fillId="0" borderId="27" xfId="1" applyNumberFormat="1" applyFont="1" applyFill="1" applyBorder="1" applyAlignment="1" applyProtection="1">
      <alignment horizontal="right" vertical="center"/>
    </xf>
    <xf numFmtId="165" fontId="23" fillId="0" borderId="1" xfId="1" applyNumberFormat="1" applyFont="1" applyFill="1" applyBorder="1" applyAlignment="1" applyProtection="1">
      <alignment horizontal="right" vertical="center"/>
    </xf>
    <xf numFmtId="0" fontId="23" fillId="0" borderId="15" xfId="1" applyFont="1" applyBorder="1" applyAlignment="1" applyProtection="1">
      <alignment horizontal="center"/>
    </xf>
    <xf numFmtId="0" fontId="23" fillId="0" borderId="13" xfId="1" applyFont="1" applyBorder="1" applyAlignment="1" applyProtection="1">
      <alignment horizontal="center"/>
    </xf>
    <xf numFmtId="0" fontId="23" fillId="0" borderId="14" xfId="1" applyFont="1" applyBorder="1" applyAlignment="1" applyProtection="1">
      <alignment horizontal="center"/>
    </xf>
    <xf numFmtId="0" fontId="23" fillId="0" borderId="26" xfId="1" applyFont="1" applyBorder="1" applyAlignment="1" applyProtection="1">
      <alignment horizontal="center"/>
    </xf>
    <xf numFmtId="164" fontId="23" fillId="0" borderId="13" xfId="1" applyNumberFormat="1" applyFont="1" applyFill="1" applyBorder="1" applyAlignment="1" applyProtection="1">
      <alignment horizontal="center" vertical="center"/>
    </xf>
    <xf numFmtId="164" fontId="23" fillId="0" borderId="15" xfId="1" applyNumberFormat="1" applyFont="1" applyFill="1" applyBorder="1" applyAlignment="1" applyProtection="1">
      <alignment horizontal="center" vertical="center"/>
    </xf>
    <xf numFmtId="164" fontId="23" fillId="0" borderId="26" xfId="1" applyNumberFormat="1" applyFont="1" applyFill="1" applyBorder="1" applyAlignment="1" applyProtection="1">
      <alignment horizontal="center" vertical="center"/>
    </xf>
    <xf numFmtId="167" fontId="23" fillId="0" borderId="13" xfId="1" applyNumberFormat="1" applyFont="1" applyFill="1" applyBorder="1" applyAlignment="1" applyProtection="1">
      <alignment horizontal="center" vertical="center"/>
    </xf>
    <xf numFmtId="167" fontId="23" fillId="0" borderId="15" xfId="1" applyNumberFormat="1" applyFont="1" applyFill="1" applyBorder="1" applyAlignment="1" applyProtection="1">
      <alignment horizontal="center" vertical="center"/>
    </xf>
    <xf numFmtId="167" fontId="23" fillId="0" borderId="26" xfId="1" applyNumberFormat="1" applyFont="1" applyFill="1" applyBorder="1" applyAlignment="1" applyProtection="1">
      <alignment horizontal="center" vertical="center"/>
    </xf>
    <xf numFmtId="166" fontId="23" fillId="0" borderId="13" xfId="1" applyNumberFormat="1" applyFont="1" applyFill="1" applyBorder="1" applyAlignment="1" applyProtection="1">
      <alignment horizontal="center" vertical="center"/>
    </xf>
    <xf numFmtId="166" fontId="23" fillId="0" borderId="15" xfId="1" applyNumberFormat="1" applyFont="1" applyFill="1" applyBorder="1" applyAlignment="1" applyProtection="1">
      <alignment horizontal="center" vertical="center"/>
    </xf>
    <xf numFmtId="166" fontId="23" fillId="0" borderId="26" xfId="1" applyNumberFormat="1" applyFont="1" applyFill="1" applyBorder="1" applyAlignment="1" applyProtection="1">
      <alignment horizontal="center" vertical="center"/>
    </xf>
    <xf numFmtId="11" fontId="23" fillId="0" borderId="13" xfId="1" applyNumberFormat="1" applyFont="1" applyFill="1" applyBorder="1" applyAlignment="1" applyProtection="1">
      <alignment horizontal="center" vertical="center"/>
    </xf>
    <xf numFmtId="11" fontId="23" fillId="0" borderId="15" xfId="1" applyNumberFormat="1" applyFont="1" applyFill="1" applyBorder="1" applyAlignment="1" applyProtection="1">
      <alignment horizontal="center" vertical="center"/>
    </xf>
    <xf numFmtId="11" fontId="23" fillId="0" borderId="26" xfId="1" applyNumberFormat="1" applyFont="1" applyFill="1" applyBorder="1" applyAlignment="1" applyProtection="1">
      <alignment horizontal="center" vertical="center"/>
    </xf>
    <xf numFmtId="0" fontId="23" fillId="3" borderId="31" xfId="3" applyFont="1" applyBorder="1" applyAlignment="1" applyProtection="1">
      <alignment horizontal="left" vertical="center"/>
      <protection locked="0"/>
    </xf>
    <xf numFmtId="0" fontId="23" fillId="3" borderId="32" xfId="3" applyFont="1" applyBorder="1" applyAlignment="1" applyProtection="1">
      <alignment horizontal="left" vertical="center"/>
      <protection locked="0"/>
    </xf>
    <xf numFmtId="169" fontId="23" fillId="2" borderId="33" xfId="4" applyNumberFormat="1" applyFont="1" applyBorder="1" applyAlignment="1" applyProtection="1">
      <alignment horizontal="center" vertical="center"/>
      <protection locked="0"/>
    </xf>
    <xf numFmtId="169" fontId="23" fillId="2" borderId="31" xfId="4" applyNumberFormat="1" applyFont="1" applyBorder="1" applyAlignment="1" applyProtection="1">
      <alignment horizontal="center" vertical="center"/>
      <protection locked="0"/>
    </xf>
    <xf numFmtId="169" fontId="23" fillId="2" borderId="32" xfId="4" applyNumberFormat="1" applyFont="1" applyBorder="1" applyAlignment="1" applyProtection="1">
      <alignment horizontal="center" vertical="center"/>
      <protection locked="0"/>
    </xf>
    <xf numFmtId="2" fontId="23" fillId="0" borderId="13" xfId="1" applyNumberFormat="1" applyFont="1" applyFill="1" applyBorder="1" applyAlignment="1" applyProtection="1">
      <alignment horizontal="center" vertical="center"/>
    </xf>
    <xf numFmtId="2" fontId="23" fillId="0" borderId="15" xfId="1" applyNumberFormat="1" applyFont="1" applyFill="1" applyBorder="1" applyAlignment="1" applyProtection="1">
      <alignment horizontal="center" vertical="center"/>
    </xf>
    <xf numFmtId="2" fontId="23" fillId="0" borderId="26" xfId="1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</cellXfs>
  <cellStyles count="8">
    <cellStyle name="GSFC List" xfId="7"/>
    <cellStyle name="GSFC Manual Entry" xfId="6"/>
    <cellStyle name="GSG INPUT" xfId="4"/>
    <cellStyle name="GSG INPUT 2" xfId="5"/>
    <cellStyle name="GSG LIST INPUT" xfId="3"/>
    <cellStyle name="Normal" xfId="0" builtinId="0"/>
    <cellStyle name="Normal 2" xfId="1"/>
    <cellStyle name="Normal 3" xfId="2"/>
  </cellStyles>
  <dxfs count="1">
    <dxf>
      <font>
        <color theme="0"/>
      </font>
      <numFmt numFmtId="0" formatCode="General"/>
      <fill>
        <patternFill patternType="none">
          <bgColor auto="1"/>
        </patternFill>
      </fill>
      <border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B3" sqref="B3:F3"/>
    </sheetView>
  </sheetViews>
  <sheetFormatPr defaultRowHeight="11.25"/>
  <cols>
    <col min="1" max="1" width="22.85546875" style="295" customWidth="1"/>
    <col min="2" max="2" width="10.85546875" style="295" customWidth="1"/>
    <col min="3" max="3" width="10.28515625" style="295" customWidth="1"/>
    <col min="4" max="4" width="11.7109375" style="295" customWidth="1"/>
    <col min="5" max="5" width="11.140625" style="295" customWidth="1"/>
    <col min="6" max="6" width="11.42578125" style="295" customWidth="1"/>
    <col min="7" max="7" width="9.7109375" style="295" customWidth="1"/>
    <col min="8" max="8" width="9.140625" style="295"/>
    <col min="9" max="9" width="14.28515625" style="295" hidden="1" customWidth="1"/>
    <col min="10" max="16384" width="9.140625" style="295"/>
  </cols>
  <sheetData>
    <row r="1" spans="1:11" ht="13.5" thickBot="1">
      <c r="A1" s="362" t="s">
        <v>545</v>
      </c>
      <c r="B1" s="363"/>
      <c r="C1" s="363"/>
      <c r="D1" s="363"/>
      <c r="E1" s="363"/>
      <c r="F1" s="363"/>
      <c r="G1" s="364"/>
      <c r="J1" s="354"/>
      <c r="K1" s="356" t="s">
        <v>586</v>
      </c>
    </row>
    <row r="2" spans="1:11" ht="12.75">
      <c r="A2" s="296" t="s">
        <v>546</v>
      </c>
      <c r="B2" s="365" t="s">
        <v>547</v>
      </c>
      <c r="C2" s="366"/>
      <c r="D2" s="366"/>
      <c r="E2" s="366"/>
      <c r="F2" s="366"/>
      <c r="G2" s="367"/>
      <c r="J2" s="355"/>
      <c r="K2" s="356" t="s">
        <v>587</v>
      </c>
    </row>
    <row r="3" spans="1:11" ht="12.75">
      <c r="A3" s="297" t="s">
        <v>548</v>
      </c>
      <c r="B3" s="368" t="s">
        <v>166</v>
      </c>
      <c r="C3" s="368"/>
      <c r="D3" s="368"/>
      <c r="E3" s="368"/>
      <c r="F3" s="368"/>
      <c r="G3" s="298"/>
    </row>
    <row r="4" spans="1:11" ht="12.75">
      <c r="A4" s="299" t="s">
        <v>549</v>
      </c>
      <c r="B4" s="369">
        <v>1992</v>
      </c>
      <c r="C4" s="370"/>
      <c r="D4" s="370"/>
      <c r="E4" s="370"/>
      <c r="F4" s="370"/>
      <c r="G4" s="371"/>
    </row>
    <row r="5" spans="1:11" ht="25.5">
      <c r="A5" s="300" t="s">
        <v>550</v>
      </c>
      <c r="B5" s="301">
        <v>-20</v>
      </c>
      <c r="C5" s="302" t="s">
        <v>141</v>
      </c>
      <c r="D5" s="372"/>
      <c r="E5" s="372"/>
      <c r="F5" s="372"/>
      <c r="G5" s="373"/>
    </row>
    <row r="6" spans="1:11" ht="38.25">
      <c r="A6" s="300" t="s">
        <v>551</v>
      </c>
      <c r="B6" s="331">
        <v>150</v>
      </c>
      <c r="C6" s="303" t="s">
        <v>514</v>
      </c>
      <c r="D6" s="333">
        <v>140</v>
      </c>
      <c r="E6" s="302" t="s">
        <v>141</v>
      </c>
      <c r="F6" s="360"/>
      <c r="G6" s="361"/>
    </row>
    <row r="7" spans="1:11" ht="25.5">
      <c r="A7" s="300" t="s">
        <v>552</v>
      </c>
      <c r="B7" s="331">
        <v>30</v>
      </c>
      <c r="C7" s="303" t="s">
        <v>514</v>
      </c>
      <c r="D7" s="333">
        <v>70</v>
      </c>
      <c r="E7" s="302" t="s">
        <v>141</v>
      </c>
      <c r="F7" s="360"/>
      <c r="G7" s="361"/>
    </row>
    <row r="8" spans="1:11" ht="25.5">
      <c r="A8" s="300" t="s">
        <v>553</v>
      </c>
      <c r="B8" s="331">
        <v>10</v>
      </c>
      <c r="C8" s="303" t="s">
        <v>514</v>
      </c>
      <c r="D8" s="333">
        <v>70</v>
      </c>
      <c r="E8" s="302" t="s">
        <v>141</v>
      </c>
      <c r="F8" s="360"/>
      <c r="G8" s="361"/>
    </row>
    <row r="9" spans="1:11" ht="12.75">
      <c r="A9" s="299" t="s">
        <v>554</v>
      </c>
      <c r="B9" s="304">
        <f>IF($B$10='Data Sheet'!$I$11,1.5*'Data Sheet'!$B$6,IF($B$10='Data Sheet'!$I$12,1.1*'Data Sheet'!$B$6,IF($B$10='Data Sheet'!$I$13,1.25*'Data Sheet'!$B$6,"N/A")))</f>
        <v>165</v>
      </c>
      <c r="C9" s="303" t="s">
        <v>514</v>
      </c>
      <c r="D9" s="305"/>
      <c r="E9" s="302" t="s">
        <v>141</v>
      </c>
      <c r="F9" s="376"/>
      <c r="G9" s="377"/>
    </row>
    <row r="10" spans="1:11" ht="16.5">
      <c r="A10" s="299" t="s">
        <v>555</v>
      </c>
      <c r="B10" s="378" t="s">
        <v>556</v>
      </c>
      <c r="C10" s="378"/>
      <c r="D10" s="379"/>
      <c r="E10" s="379"/>
      <c r="F10" s="379"/>
      <c r="G10" s="380"/>
      <c r="I10" s="306" t="s">
        <v>7</v>
      </c>
    </row>
    <row r="11" spans="1:11" ht="16.5">
      <c r="A11" s="299" t="s">
        <v>557</v>
      </c>
      <c r="B11" s="331">
        <v>2600</v>
      </c>
      <c r="C11" s="307" t="s">
        <v>514</v>
      </c>
      <c r="D11" s="372"/>
      <c r="E11" s="372"/>
      <c r="F11" s="372"/>
      <c r="G11" s="373"/>
      <c r="I11" s="308" t="s">
        <v>558</v>
      </c>
    </row>
    <row r="12" spans="1:11" ht="16.5">
      <c r="A12" s="309" t="s">
        <v>559</v>
      </c>
      <c r="B12" s="331">
        <v>0</v>
      </c>
      <c r="C12" s="310" t="s">
        <v>514</v>
      </c>
      <c r="D12" s="311"/>
      <c r="E12" s="311"/>
      <c r="F12" s="311"/>
      <c r="G12" s="312"/>
      <c r="I12" s="308" t="s">
        <v>556</v>
      </c>
    </row>
    <row r="13" spans="1:11" ht="17.25" thickBot="1">
      <c r="A13" s="309" t="s">
        <v>560</v>
      </c>
      <c r="B13" s="313">
        <f>SQRT(1/(IF(ISNUMBER($E$16),1/$E$16^2,0)+IF(ISNUMBER($E$17),1/$E$17^2,0)+IF(ISNUMBER($E$18),1/$E$18^2,0)+IF(ISNUMBER($E$19),1/$E$19^2,0)+IF(ISNUMBER($E$20),1/$E$20^2,0)))</f>
        <v>0.06</v>
      </c>
      <c r="C13" s="314"/>
      <c r="D13" s="381"/>
      <c r="E13" s="381"/>
      <c r="F13" s="381"/>
      <c r="G13" s="382"/>
      <c r="I13" s="315" t="s">
        <v>561</v>
      </c>
    </row>
    <row r="14" spans="1:11" ht="13.5" thickBot="1">
      <c r="A14" s="362" t="s">
        <v>562</v>
      </c>
      <c r="B14" s="363"/>
      <c r="C14" s="363"/>
      <c r="D14" s="363"/>
      <c r="E14" s="363"/>
      <c r="F14" s="363"/>
      <c r="G14" s="364"/>
    </row>
    <row r="15" spans="1:11" ht="39" thickBot="1">
      <c r="A15" s="316" t="s">
        <v>563</v>
      </c>
      <c r="B15" s="317" t="s">
        <v>564</v>
      </c>
      <c r="C15" s="318" t="s">
        <v>565</v>
      </c>
      <c r="D15" s="317" t="s">
        <v>566</v>
      </c>
      <c r="E15" s="317" t="s">
        <v>567</v>
      </c>
      <c r="F15" s="317" t="s">
        <v>568</v>
      </c>
      <c r="G15" s="383"/>
    </row>
    <row r="16" spans="1:11" ht="15.75">
      <c r="A16" s="319" t="s">
        <v>569</v>
      </c>
      <c r="B16" s="335"/>
      <c r="C16" s="336"/>
      <c r="D16" s="337"/>
      <c r="E16" s="331">
        <v>0.06</v>
      </c>
      <c r="F16" s="344"/>
      <c r="G16" s="384"/>
    </row>
    <row r="17" spans="1:9" ht="15.75">
      <c r="A17" s="320" t="s">
        <v>570</v>
      </c>
      <c r="B17" s="338"/>
      <c r="C17" s="339"/>
      <c r="D17" s="340"/>
      <c r="E17" s="333" t="s">
        <v>7</v>
      </c>
      <c r="F17" s="344"/>
      <c r="G17" s="384"/>
    </row>
    <row r="18" spans="1:9" ht="12.75">
      <c r="A18" s="321" t="s">
        <v>571</v>
      </c>
      <c r="B18" s="338"/>
      <c r="C18" s="341"/>
      <c r="D18" s="340"/>
      <c r="E18" s="331" t="s">
        <v>7</v>
      </c>
      <c r="F18" s="344"/>
      <c r="G18" s="384"/>
    </row>
    <row r="19" spans="1:9" ht="12.75">
      <c r="A19" s="320" t="s">
        <v>572</v>
      </c>
      <c r="B19" s="335"/>
      <c r="C19" s="341"/>
      <c r="D19" s="340"/>
      <c r="E19" s="332" t="s">
        <v>7</v>
      </c>
      <c r="F19" s="344"/>
      <c r="G19" s="384"/>
    </row>
    <row r="20" spans="1:9" ht="13.5" thickBot="1">
      <c r="A20" s="322" t="s">
        <v>573</v>
      </c>
      <c r="B20" s="335"/>
      <c r="C20" s="342"/>
      <c r="D20" s="343"/>
      <c r="E20" s="332" t="s">
        <v>7</v>
      </c>
      <c r="F20" s="344"/>
      <c r="G20" s="385"/>
    </row>
    <row r="21" spans="1:9" ht="13.5" thickBot="1">
      <c r="A21" s="386" t="s">
        <v>574</v>
      </c>
      <c r="B21" s="387"/>
      <c r="C21" s="387"/>
      <c r="D21" s="387"/>
      <c r="E21" s="387"/>
      <c r="F21" s="387"/>
      <c r="G21" s="388"/>
    </row>
    <row r="22" spans="1:9" ht="51.75" thickBot="1">
      <c r="A22" s="323"/>
      <c r="B22" s="350" t="s">
        <v>575</v>
      </c>
      <c r="C22" s="351" t="s">
        <v>564</v>
      </c>
      <c r="D22" s="317" t="s">
        <v>565</v>
      </c>
      <c r="E22" s="318" t="s">
        <v>576</v>
      </c>
      <c r="F22" s="317" t="s">
        <v>577</v>
      </c>
      <c r="G22" s="352" t="s">
        <v>578</v>
      </c>
    </row>
    <row r="23" spans="1:9" ht="16.5">
      <c r="A23" s="324" t="s">
        <v>579</v>
      </c>
      <c r="B23" s="345" t="s">
        <v>580</v>
      </c>
      <c r="C23" s="346">
        <v>0.25</v>
      </c>
      <c r="D23" s="347" t="s">
        <v>592</v>
      </c>
      <c r="E23" s="348">
        <v>100</v>
      </c>
      <c r="F23" s="349">
        <f>Calculation!$D$11</f>
        <v>264.17889537093293</v>
      </c>
      <c r="G23" s="353"/>
      <c r="H23" s="358">
        <f>Calculation!D32</f>
        <v>86.662187545153742</v>
      </c>
      <c r="I23" s="306" t="s">
        <v>7</v>
      </c>
    </row>
    <row r="24" spans="1:9" ht="16.5">
      <c r="A24" s="320" t="s">
        <v>581</v>
      </c>
      <c r="B24" s="389">
        <f>Calculation!$D$31</f>
        <v>4.307277506598111E-2</v>
      </c>
      <c r="C24" s="390"/>
      <c r="D24" s="325" t="s">
        <v>582</v>
      </c>
      <c r="E24" s="326"/>
      <c r="F24" s="326"/>
      <c r="G24" s="327"/>
      <c r="I24" s="308" t="s">
        <v>583</v>
      </c>
    </row>
    <row r="25" spans="1:9" ht="17.25" thickBot="1">
      <c r="A25" s="322" t="s">
        <v>584</v>
      </c>
      <c r="B25" s="374">
        <v>7.5999999999999998E-2</v>
      </c>
      <c r="C25" s="375"/>
      <c r="D25" s="328" t="s">
        <v>582</v>
      </c>
      <c r="E25" s="329"/>
      <c r="F25" s="329"/>
      <c r="G25" s="330"/>
      <c r="I25" s="308" t="s">
        <v>580</v>
      </c>
    </row>
    <row r="26" spans="1:9" ht="16.5">
      <c r="I26" s="315" t="s">
        <v>585</v>
      </c>
    </row>
  </sheetData>
  <mergeCells count="18">
    <mergeCell ref="B25:C25"/>
    <mergeCell ref="F7:G7"/>
    <mergeCell ref="F8:G8"/>
    <mergeCell ref="F9:G9"/>
    <mergeCell ref="B10:C10"/>
    <mergeCell ref="D10:G10"/>
    <mergeCell ref="D11:G11"/>
    <mergeCell ref="D13:G13"/>
    <mergeCell ref="A14:G14"/>
    <mergeCell ref="G15:G20"/>
    <mergeCell ref="A21:G21"/>
    <mergeCell ref="B24:C24"/>
    <mergeCell ref="F6:G6"/>
    <mergeCell ref="A1:G1"/>
    <mergeCell ref="B2:G2"/>
    <mergeCell ref="B3:F3"/>
    <mergeCell ref="B4:G4"/>
    <mergeCell ref="D5:G5"/>
  </mergeCells>
  <dataValidations count="3">
    <dataValidation type="list" allowBlank="1" showInputMessage="1" showErrorMessage="1" sqref="B3">
      <formula1>Fluid_Contents</formula1>
    </dataValidation>
    <dataValidation type="list" allowBlank="1" showInputMessage="1" showErrorMessage="1" sqref="B10:C10">
      <formula1>TEST</formula1>
    </dataValidation>
    <dataValidation type="list" allowBlank="1" showInputMessage="1" showErrorMessage="1" sqref="B23">
      <formula1>RELIEF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F25" sqref="F25"/>
    </sheetView>
  </sheetViews>
  <sheetFormatPr defaultRowHeight="12.75"/>
  <cols>
    <col min="1" max="1" width="13.7109375" style="276" customWidth="1"/>
    <col min="2" max="3" width="20.7109375" style="276" customWidth="1"/>
    <col min="4" max="7" width="15.7109375" style="276" customWidth="1"/>
    <col min="8" max="9" width="10.7109375" style="276" customWidth="1"/>
    <col min="10" max="10" width="17.42578125" style="276" customWidth="1"/>
    <col min="11" max="11" width="15.7109375" style="276" customWidth="1"/>
    <col min="12" max="12" width="12.28515625" style="276" bestFit="1" customWidth="1"/>
    <col min="13" max="13" width="10.7109375" style="276" customWidth="1"/>
    <col min="14" max="14" width="18.42578125" style="276" customWidth="1"/>
    <col min="15" max="15" width="17" style="276" customWidth="1"/>
    <col min="16" max="17" width="9.140625" style="276"/>
    <col min="18" max="19" width="16.7109375" style="276" customWidth="1"/>
    <col min="20" max="16384" width="9.140625" style="276"/>
  </cols>
  <sheetData>
    <row r="1" spans="1:11">
      <c r="A1" s="394" t="s">
        <v>511</v>
      </c>
      <c r="B1" s="394"/>
      <c r="C1" s="394"/>
      <c r="D1" s="394"/>
      <c r="E1" s="394"/>
      <c r="F1" s="394"/>
      <c r="G1" s="394"/>
      <c r="H1" s="394"/>
      <c r="I1" s="394"/>
    </row>
    <row r="2" spans="1:11">
      <c r="A2" s="395" t="s">
        <v>512</v>
      </c>
      <c r="B2" s="395"/>
      <c r="C2" s="395"/>
      <c r="D2" s="395"/>
      <c r="E2" s="395"/>
      <c r="F2" s="395"/>
      <c r="G2" s="395"/>
      <c r="H2" s="395"/>
      <c r="I2" s="395"/>
    </row>
    <row r="3" spans="1:11" ht="15.75">
      <c r="B3" s="393" t="s">
        <v>513</v>
      </c>
      <c r="C3" s="393"/>
      <c r="D3" s="277">
        <f>'Data Sheet'!$E$23</f>
        <v>100</v>
      </c>
      <c r="E3" s="278" t="s">
        <v>514</v>
      </c>
    </row>
    <row r="4" spans="1:11" ht="15.75">
      <c r="B4" s="393" t="s">
        <v>515</v>
      </c>
      <c r="C4" s="393"/>
      <c r="D4" s="277">
        <f>'Data Sheet'!$B$11</f>
        <v>2600</v>
      </c>
      <c r="E4" s="278" t="s">
        <v>514</v>
      </c>
    </row>
    <row r="5" spans="1:11" ht="15.75">
      <c r="B5" s="393" t="s">
        <v>516</v>
      </c>
      <c r="C5" s="393"/>
      <c r="D5" s="279">
        <f>'Data Sheet'!$B$13</f>
        <v>0.06</v>
      </c>
      <c r="E5" s="278"/>
    </row>
    <row r="6" spans="1:11" ht="15.75">
      <c r="B6" s="393" t="s">
        <v>517</v>
      </c>
      <c r="C6" s="393"/>
      <c r="D6" s="279">
        <f>'Process DS'!$J$44</f>
        <v>1.6659280757551351</v>
      </c>
      <c r="E6" s="278"/>
    </row>
    <row r="7" spans="1:11">
      <c r="B7" s="393" t="s">
        <v>526</v>
      </c>
      <c r="C7" s="393"/>
      <c r="D7" s="279">
        <f>'Process DS'!$J$33</f>
        <v>4.0026248119000005</v>
      </c>
      <c r="E7" s="276" t="s">
        <v>527</v>
      </c>
    </row>
    <row r="8" spans="1:11">
      <c r="B8" s="393" t="s">
        <v>593</v>
      </c>
      <c r="C8" s="393"/>
      <c r="D8" s="277">
        <f>(6413.248/SQRT(D7))*SQRT(D6)*(2/(D6+1))^((D6/(D6-1))-0.5)</f>
        <v>2327.4973438611028</v>
      </c>
    </row>
    <row r="9" spans="1:11">
      <c r="B9" s="393" t="s">
        <v>594</v>
      </c>
      <c r="C9" s="393"/>
      <c r="D9" s="277">
        <f>(9069.702/SQRT(D7))*SQRT(D6/(D6-1))</f>
        <v>7170.2622029480199</v>
      </c>
    </row>
    <row r="10" spans="1:11" ht="15.75">
      <c r="B10" s="359"/>
      <c r="C10" s="359" t="s">
        <v>595</v>
      </c>
      <c r="D10" s="279">
        <f>(2/(D6+1))^(D6/(D6-1))</f>
        <v>0.48724373224844059</v>
      </c>
    </row>
    <row r="11" spans="1:11" ht="15.75">
      <c r="B11" s="393" t="s">
        <v>518</v>
      </c>
      <c r="C11" s="393"/>
      <c r="D11" s="277">
        <f>IF((D3+14.69595)/(D4+14.69595)&lt;=D10,D8*D5*(D4+14.69595)/SQRT(D15),(D9*D5*SQRT(1-((D3+14.69595)/(D4+14.69595)^((D6-1)/D6)))*(D4+14.69595)*((D6-1)/D6)*(D3+14.69595)*(1/D6))/SQRT(D15))/60</f>
        <v>264.17889537093293</v>
      </c>
      <c r="E11" s="276" t="s">
        <v>519</v>
      </c>
    </row>
    <row r="12" spans="1:11">
      <c r="A12" s="394" t="s">
        <v>520</v>
      </c>
      <c r="B12" s="394"/>
      <c r="C12" s="394"/>
      <c r="D12" s="394"/>
      <c r="E12" s="394"/>
      <c r="F12" s="394"/>
      <c r="G12" s="394"/>
      <c r="H12" s="394"/>
      <c r="I12" s="394"/>
    </row>
    <row r="13" spans="1:11">
      <c r="A13" s="395" t="s">
        <v>521</v>
      </c>
      <c r="B13" s="395"/>
      <c r="C13" s="395"/>
      <c r="D13" s="395"/>
      <c r="E13" s="395"/>
      <c r="F13" s="395"/>
      <c r="G13" s="395"/>
      <c r="H13" s="395"/>
      <c r="I13" s="395"/>
    </row>
    <row r="14" spans="1:11" ht="15.75">
      <c r="A14" s="280"/>
      <c r="B14" s="393" t="s">
        <v>522</v>
      </c>
      <c r="C14" s="393"/>
      <c r="D14" s="281">
        <f>'Data Sheet'!$B$8</f>
        <v>10</v>
      </c>
      <c r="E14" s="276" t="s">
        <v>514</v>
      </c>
      <c r="I14" s="393"/>
      <c r="J14" s="393"/>
      <c r="K14" s="282"/>
    </row>
    <row r="15" spans="1:11" ht="15.75">
      <c r="A15" s="280"/>
      <c r="B15" s="393" t="s">
        <v>523</v>
      </c>
      <c r="C15" s="393"/>
      <c r="D15" s="283">
        <f>'Data Sheet'!$D$8+460.67</f>
        <v>530.67000000000007</v>
      </c>
      <c r="E15" s="276" t="s">
        <v>524</v>
      </c>
    </row>
    <row r="16" spans="1:11" ht="15.75">
      <c r="A16" s="280"/>
      <c r="B16" s="393" t="s">
        <v>525</v>
      </c>
      <c r="C16" s="393"/>
      <c r="D16" s="283">
        <f>'Data Sheet'!$B$12</f>
        <v>0</v>
      </c>
      <c r="E16" s="276" t="s">
        <v>514</v>
      </c>
    </row>
    <row r="17" spans="1:7">
      <c r="A17" s="280"/>
      <c r="B17" s="393" t="s">
        <v>526</v>
      </c>
      <c r="C17" s="393"/>
      <c r="D17" s="283">
        <f>'Process DS'!$J$33</f>
        <v>4.0026248119000005</v>
      </c>
      <c r="E17" s="276" t="s">
        <v>527</v>
      </c>
    </row>
    <row r="18" spans="1:7" ht="15">
      <c r="A18" s="284"/>
      <c r="B18" s="393" t="s">
        <v>528</v>
      </c>
      <c r="C18" s="393"/>
      <c r="D18" s="283">
        <f>'Process DS'!$J$39</f>
        <v>0.50415560063677534</v>
      </c>
      <c r="E18" s="276" t="s">
        <v>529</v>
      </c>
    </row>
    <row r="19" spans="1:7" ht="15.75">
      <c r="A19" s="284"/>
      <c r="B19" s="393" t="s">
        <v>530</v>
      </c>
      <c r="C19" s="393"/>
      <c r="D19" s="334">
        <v>1</v>
      </c>
    </row>
    <row r="20" spans="1:7" ht="15.75">
      <c r="A20" s="284"/>
      <c r="B20" s="393" t="s">
        <v>531</v>
      </c>
      <c r="C20" s="393"/>
      <c r="D20" s="334">
        <v>1</v>
      </c>
    </row>
    <row r="21" spans="1:7" ht="15.75">
      <c r="A21" s="284"/>
      <c r="B21" s="393" t="s">
        <v>532</v>
      </c>
      <c r="C21" s="393"/>
      <c r="D21" s="334">
        <f>IF('Data Sheet'!$B$23="Valve",0.95,0.62)</f>
        <v>0.95</v>
      </c>
    </row>
    <row r="22" spans="1:7">
      <c r="A22" s="284"/>
      <c r="B22" s="393" t="s">
        <v>533</v>
      </c>
      <c r="C22" s="393"/>
      <c r="D22" s="334">
        <v>1</v>
      </c>
    </row>
    <row r="23" spans="1:7" ht="15.75">
      <c r="A23" s="396" t="s">
        <v>534</v>
      </c>
      <c r="B23" s="391" t="s">
        <v>535</v>
      </c>
      <c r="C23" s="391"/>
      <c r="D23" s="281">
        <f>D$3*1.1+14.69595</f>
        <v>124.69595000000001</v>
      </c>
      <c r="E23" s="285" t="s">
        <v>536</v>
      </c>
    </row>
    <row r="24" spans="1:7" ht="15.75">
      <c r="A24" s="397"/>
      <c r="B24" s="399" t="s">
        <v>537</v>
      </c>
      <c r="C24" s="399"/>
      <c r="D24" s="283">
        <f>D15</f>
        <v>530.67000000000007</v>
      </c>
      <c r="E24" s="286" t="s">
        <v>524</v>
      </c>
      <c r="F24" s="276" t="s">
        <v>597</v>
      </c>
      <c r="G24" s="287"/>
    </row>
    <row r="25" spans="1:7" ht="15.75">
      <c r="A25" s="397"/>
      <c r="B25" s="399" t="s">
        <v>538</v>
      </c>
      <c r="C25" s="399"/>
      <c r="D25" s="283">
        <f>D$11</f>
        <v>264.17889537093293</v>
      </c>
      <c r="E25" s="288" t="s">
        <v>519</v>
      </c>
      <c r="G25" s="287"/>
    </row>
    <row r="26" spans="1:7" ht="15.75">
      <c r="A26" s="397"/>
      <c r="B26" s="399" t="s">
        <v>539</v>
      </c>
      <c r="C26" s="399"/>
      <c r="D26" s="283">
        <f>D$23*D10</f>
        <v>60.757320074264939</v>
      </c>
      <c r="E26" s="288" t="s">
        <v>536</v>
      </c>
    </row>
    <row r="27" spans="1:7">
      <c r="A27" s="397"/>
      <c r="B27" s="289"/>
      <c r="C27" s="290"/>
      <c r="D27" s="291" t="str">
        <f>IF(D$26&gt;(D$16+14.69595),"*Critical Flow","*Sub-Critical Flow")</f>
        <v>*Critical Flow</v>
      </c>
      <c r="E27" s="288"/>
      <c r="F27" s="292"/>
    </row>
    <row r="28" spans="1:7">
      <c r="A28" s="397"/>
      <c r="B28" s="399" t="s">
        <v>540</v>
      </c>
      <c r="C28" s="399"/>
      <c r="D28" s="283">
        <f>520*SQRT(D$6*(2/(D$6+1))^((D$6+1)/(D$6-1)))</f>
        <v>377.56084107822153</v>
      </c>
      <c r="E28" s="357"/>
      <c r="F28" s="292"/>
    </row>
    <row r="29" spans="1:7">
      <c r="A29" s="397"/>
      <c r="B29" s="399" t="s">
        <v>541</v>
      </c>
      <c r="C29" s="399"/>
      <c r="D29" s="283" t="str">
        <f>IF(D$26&gt;(D$16+14.69595),"",(D$16+14.69595)/D$23)</f>
        <v/>
      </c>
      <c r="E29" s="286"/>
    </row>
    <row r="30" spans="1:7" ht="15.75">
      <c r="A30" s="397"/>
      <c r="B30" s="399" t="s">
        <v>542</v>
      </c>
      <c r="C30" s="399"/>
      <c r="D30" s="283" t="str">
        <f>IF(D$26&gt;(D$16+14.69595),"",SQRT((D$6/(D$6-1))*D$29^(2/D$6)*((1-(D$29^((D$6-1)/D$6)))/(1-D$29))))</f>
        <v/>
      </c>
      <c r="E30" s="286"/>
    </row>
    <row r="31" spans="1:7" ht="15">
      <c r="A31" s="398"/>
      <c r="B31" s="400" t="s">
        <v>543</v>
      </c>
      <c r="C31" s="401"/>
      <c r="D31" s="293">
        <f>IF(D$26&gt;(D$16+14.69595),D$25/(6.32*D$28*D$23*D$21*D$20*D$19)*SQRT(D$24*D$22*D$7),D$25/(4645*D$30*D$21*D$20)*SQRT((D$22*D$24*D$7)/(D$23*(D$23-(D$16+14.69595)))))</f>
        <v>4.307277506598111E-2</v>
      </c>
      <c r="E31" s="294" t="s">
        <v>544</v>
      </c>
    </row>
    <row r="32" spans="1:7">
      <c r="B32" s="391" t="s">
        <v>591</v>
      </c>
      <c r="C32" s="392"/>
      <c r="D32" s="283">
        <f>((1.175*D28*D21*D23*D19*D20)/(SQRT(D24*D22*D7)))*'Data Sheet'!$B$25</f>
        <v>86.662187545153742</v>
      </c>
      <c r="E32" s="288" t="s">
        <v>519</v>
      </c>
    </row>
  </sheetData>
  <mergeCells count="32">
    <mergeCell ref="B20:C20"/>
    <mergeCell ref="B21:C21"/>
    <mergeCell ref="A23:A31"/>
    <mergeCell ref="B23:C23"/>
    <mergeCell ref="B24:C24"/>
    <mergeCell ref="B25:C25"/>
    <mergeCell ref="B26:C26"/>
    <mergeCell ref="B28:C28"/>
    <mergeCell ref="B29:C29"/>
    <mergeCell ref="B30:C30"/>
    <mergeCell ref="B31:C31"/>
    <mergeCell ref="B15:C15"/>
    <mergeCell ref="B16:C16"/>
    <mergeCell ref="B17:C17"/>
    <mergeCell ref="B18:C18"/>
    <mergeCell ref="B19:C19"/>
    <mergeCell ref="B32:C32"/>
    <mergeCell ref="B11:C11"/>
    <mergeCell ref="A1:I1"/>
    <mergeCell ref="A2:I2"/>
    <mergeCell ref="B3:C3"/>
    <mergeCell ref="B4:C4"/>
    <mergeCell ref="B5:C5"/>
    <mergeCell ref="B6:C6"/>
    <mergeCell ref="B7:C7"/>
    <mergeCell ref="B8:C8"/>
    <mergeCell ref="B9:C9"/>
    <mergeCell ref="B22:C22"/>
    <mergeCell ref="A12:I12"/>
    <mergeCell ref="A13:I13"/>
    <mergeCell ref="B14:C14"/>
    <mergeCell ref="I14:J14"/>
  </mergeCells>
  <dataValidations count="1">
    <dataValidation type="list" allowBlank="1" showInputMessage="1" showErrorMessage="1" sqref="K14">
      <formula1>Vessel_Material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7"/>
  <sheetViews>
    <sheetView workbookViewId="0">
      <selection activeCell="J33" sqref="J33:N33"/>
    </sheetView>
  </sheetViews>
  <sheetFormatPr defaultColWidth="8.85546875" defaultRowHeight="12.75"/>
  <cols>
    <col min="1" max="1" width="3.140625" style="275" customWidth="1"/>
    <col min="2" max="7" width="5.7109375" style="216" customWidth="1"/>
    <col min="8" max="8" width="8.28515625" style="216" customWidth="1"/>
    <col min="9" max="10" width="5.7109375" style="216" customWidth="1"/>
    <col min="11" max="11" width="6" style="216" customWidth="1"/>
    <col min="12" max="29" width="5.7109375" style="216" customWidth="1"/>
    <col min="30" max="30" width="8.85546875" style="216" customWidth="1"/>
    <col min="31" max="31" width="9.7109375" style="216" bestFit="1" customWidth="1"/>
    <col min="32" max="32" width="9.140625" style="216" bestFit="1" customWidth="1"/>
    <col min="33" max="33" width="9" style="216" bestFit="1" customWidth="1"/>
    <col min="34" max="16384" width="8.85546875" style="216"/>
  </cols>
  <sheetData>
    <row r="1" spans="1:34" ht="14.25" thickBot="1">
      <c r="A1" s="213"/>
      <c r="B1" s="214">
        <v>1</v>
      </c>
      <c r="C1" s="416" t="s">
        <v>1</v>
      </c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8"/>
      <c r="AC1" s="215" t="s">
        <v>461</v>
      </c>
    </row>
    <row r="2" spans="1:34" ht="16.5">
      <c r="A2" s="217"/>
      <c r="B2" s="218">
        <f t="shared" ref="B2:B45" si="0">B1+1</f>
        <v>2</v>
      </c>
      <c r="C2" s="419" t="s">
        <v>462</v>
      </c>
      <c r="D2" s="420"/>
      <c r="E2" s="420"/>
      <c r="F2" s="420"/>
      <c r="G2" s="420" t="s">
        <v>463</v>
      </c>
      <c r="H2" s="421"/>
      <c r="I2" s="422" t="s">
        <v>464</v>
      </c>
      <c r="J2" s="423"/>
      <c r="K2" s="423"/>
      <c r="L2" s="423"/>
      <c r="M2" s="423"/>
      <c r="N2" s="423"/>
      <c r="O2" s="424"/>
      <c r="P2" s="422" t="s">
        <v>465</v>
      </c>
      <c r="Q2" s="423"/>
      <c r="R2" s="423"/>
      <c r="S2" s="423"/>
      <c r="T2" s="423"/>
      <c r="U2" s="423"/>
      <c r="V2" s="423"/>
      <c r="W2" s="424"/>
      <c r="X2" s="422" t="s">
        <v>466</v>
      </c>
      <c r="Y2" s="423"/>
      <c r="Z2" s="423"/>
      <c r="AA2" s="423"/>
      <c r="AB2" s="425"/>
      <c r="AC2" s="219"/>
      <c r="AE2" s="220" t="s">
        <v>144</v>
      </c>
      <c r="AF2" s="216" t="s">
        <v>467</v>
      </c>
    </row>
    <row r="3" spans="1:34" ht="16.5">
      <c r="A3" s="217"/>
      <c r="B3" s="218">
        <f t="shared" si="0"/>
        <v>3</v>
      </c>
      <c r="C3" s="221" t="s">
        <v>468</v>
      </c>
      <c r="D3" s="222"/>
      <c r="E3" s="222"/>
      <c r="F3" s="222"/>
      <c r="G3" s="402" t="str">
        <f>'Data Sheet'!$E$7</f>
        <v>°F</v>
      </c>
      <c r="H3" s="403"/>
      <c r="I3" s="404">
        <f>'Data Sheet'!$D$7</f>
        <v>70</v>
      </c>
      <c r="J3" s="404"/>
      <c r="K3" s="404"/>
      <c r="L3" s="404"/>
      <c r="M3" s="404"/>
      <c r="N3" s="404"/>
      <c r="O3" s="404"/>
      <c r="P3" s="405">
        <v>37</v>
      </c>
      <c r="Q3" s="406"/>
      <c r="R3" s="406"/>
      <c r="S3" s="406"/>
      <c r="T3" s="406"/>
      <c r="U3" s="406"/>
      <c r="V3" s="406"/>
      <c r="W3" s="407"/>
      <c r="X3" s="405">
        <v>37</v>
      </c>
      <c r="Y3" s="406"/>
      <c r="Z3" s="406"/>
      <c r="AA3" s="406"/>
      <c r="AB3" s="408"/>
      <c r="AC3" s="223"/>
      <c r="AE3" s="224">
        <f>IF(G3="°F",(5*(I3-32)/9+273.15),(I3+273.15))</f>
        <v>294.26111111111106</v>
      </c>
      <c r="AF3" s="216">
        <f>IF(G3="°F",(5*(P3-32)/9+273.15),(P3+273.15))</f>
        <v>275.92777777777775</v>
      </c>
      <c r="AG3" s="216">
        <f>IF(G3="°F",(5*(X3-32)/9+273.15),(X3+273.15))</f>
        <v>275.92777777777775</v>
      </c>
      <c r="AH3" s="216" t="s">
        <v>469</v>
      </c>
    </row>
    <row r="4" spans="1:34" ht="16.5">
      <c r="A4" s="217"/>
      <c r="B4" s="218">
        <f t="shared" si="0"/>
        <v>4</v>
      </c>
      <c r="C4" s="221" t="s">
        <v>470</v>
      </c>
      <c r="D4" s="222"/>
      <c r="E4" s="222"/>
      <c r="F4" s="222"/>
      <c r="G4" s="402" t="str">
        <f>'Data Sheet'!$C$7</f>
        <v>psig</v>
      </c>
      <c r="H4" s="403"/>
      <c r="I4" s="409">
        <f>'Data Sheet'!$B$7</f>
        <v>30</v>
      </c>
      <c r="J4" s="409"/>
      <c r="K4" s="409"/>
      <c r="L4" s="409"/>
      <c r="M4" s="409"/>
      <c r="N4" s="409"/>
      <c r="O4" s="409"/>
      <c r="P4" s="410">
        <f>IF(G4="PSIG",(AF4-AE45)*14.50377,IF(G4="PSIA",(AF4)*14.50377,IF(G4="KG/CM2 G",(AF4-AE45)/0.980665,IF(G4="KG/CM2 A",(AF4)/0.980665,IF(G4="BARG",AF4-AE45,AF4)))))</f>
        <v>29.999999999999996</v>
      </c>
      <c r="Q4" s="411"/>
      <c r="R4" s="411"/>
      <c r="S4" s="411"/>
      <c r="T4" s="411"/>
      <c r="U4" s="411"/>
      <c r="V4" s="411"/>
      <c r="W4" s="412"/>
      <c r="X4" s="413">
        <v>0.3</v>
      </c>
      <c r="Y4" s="414"/>
      <c r="Z4" s="414"/>
      <c r="AA4" s="414"/>
      <c r="AB4" s="415"/>
      <c r="AC4" s="223"/>
      <c r="AE4" s="225">
        <f>IF(G4="PSIG",(I4/14.50377+AE45),IF(G4="PSIA",(I4/14.50377),IF(G4="KG/CM2 G",(I4*0.980665+AE45),IF(G4="KG/CM2 A",(I4*0.980665),IF(G4="BARG",(I4+AE45),I4)))))</f>
        <v>3.0816777260326109</v>
      </c>
      <c r="AF4" s="225">
        <f>AE4-0</f>
        <v>3.0816777260326109</v>
      </c>
      <c r="AG4" s="216">
        <f>IF(G4="PSIG",(X4/14.50377+AE45),IF(G4="PSIA",(X4/14.50377),IF(G4="KG/CM2 G",(X4*0.980665+AE45),IF(G4="KG/CM2 A",(X4*0.980665),IF(G4="BARG",(X4+AE45),X4)))))</f>
        <v>1.0339342772603262</v>
      </c>
      <c r="AH4" s="216" t="s">
        <v>471</v>
      </c>
    </row>
    <row r="5" spans="1:34" ht="16.5">
      <c r="A5" s="217"/>
      <c r="B5" s="218">
        <f t="shared" si="0"/>
        <v>5</v>
      </c>
      <c r="C5" s="221" t="s">
        <v>472</v>
      </c>
      <c r="D5" s="222"/>
      <c r="E5" s="222"/>
      <c r="F5" s="222"/>
      <c r="G5" s="222"/>
      <c r="H5" s="222"/>
      <c r="I5" s="437" t="s">
        <v>473</v>
      </c>
      <c r="J5" s="438"/>
      <c r="K5" s="438"/>
      <c r="L5" s="439"/>
      <c r="M5" s="437" t="s">
        <v>474</v>
      </c>
      <c r="N5" s="438"/>
      <c r="O5" s="439"/>
      <c r="P5" s="440" t="s">
        <v>473</v>
      </c>
      <c r="Q5" s="441"/>
      <c r="R5" s="441"/>
      <c r="S5" s="441"/>
      <c r="T5" s="442"/>
      <c r="U5" s="437" t="s">
        <v>474</v>
      </c>
      <c r="V5" s="438"/>
      <c r="W5" s="439"/>
      <c r="X5" s="226"/>
      <c r="Y5" s="226"/>
      <c r="Z5" s="226"/>
      <c r="AA5" s="226"/>
      <c r="AB5" s="227"/>
      <c r="AC5" s="223"/>
    </row>
    <row r="6" spans="1:34" s="232" customFormat="1" ht="16.5">
      <c r="A6" s="228"/>
      <c r="B6" s="218">
        <f t="shared" si="0"/>
        <v>6</v>
      </c>
      <c r="C6" s="229" t="s">
        <v>190</v>
      </c>
      <c r="D6" s="428" t="str">
        <f>INDEX(Master_List_Fluid_Composition,MATCH($C6,Array_Component_Number,0),MATCH(INDEX(Master_List_Fluid_Contents,MATCH('Data Sheet'!$B$3,Fluid_Contents,0),2),Master_List_Column_Title_Gas_ID_Tag,0))</f>
        <v>Water Vapor - H2O</v>
      </c>
      <c r="E6" s="428"/>
      <c r="F6" s="428"/>
      <c r="G6" s="428"/>
      <c r="H6" s="429"/>
      <c r="I6" s="430">
        <f>INDEX(Master_List_Fluid_Composition,MATCH($C6,Array_Component_Number,0),MATCH(INDEX(Master_List_Fluid_Contents,MATCH('Data Sheet'!$B$3,Fluid_Contents,0),3),Master_List_Column_Title_Gas_ID_Tag,0))</f>
        <v>2.0000000000000002E-5</v>
      </c>
      <c r="J6" s="431"/>
      <c r="K6" s="426" t="s">
        <v>107</v>
      </c>
      <c r="L6" s="432"/>
      <c r="M6" s="433">
        <f>IF($O$6='Process DB'!$C$89,'Process CL'!H37,'Process CL'!I37)</f>
        <v>2.0000000000000002E-5</v>
      </c>
      <c r="N6" s="434"/>
      <c r="O6" s="230" t="s">
        <v>107</v>
      </c>
      <c r="P6" s="435">
        <v>-76</v>
      </c>
      <c r="Q6" s="436"/>
      <c r="R6" s="426" t="s">
        <v>112</v>
      </c>
      <c r="S6" s="426"/>
      <c r="T6" s="432"/>
      <c r="U6" s="433">
        <f>IF($W$6='Process DB'!$C$89,'Process CL'!I101,'Process CL'!J101)</f>
        <v>1.0159999999999991E-4</v>
      </c>
      <c r="V6" s="434"/>
      <c r="W6" s="230" t="s">
        <v>107</v>
      </c>
      <c r="X6" s="231"/>
      <c r="Y6" s="443" t="e">
        <f>IF($AA$6='Process DB'!$C$89,'Process CL'!L203,'Process CL'!M203)</f>
        <v>#DIV/0!</v>
      </c>
      <c r="Z6" s="443"/>
      <c r="AA6" s="426" t="s">
        <v>107</v>
      </c>
      <c r="AB6" s="427"/>
      <c r="AC6" s="223"/>
    </row>
    <row r="7" spans="1:34" s="232" customFormat="1" ht="16.5">
      <c r="A7" s="228"/>
      <c r="B7" s="218">
        <f t="shared" si="0"/>
        <v>7</v>
      </c>
      <c r="C7" s="229" t="s">
        <v>192</v>
      </c>
      <c r="D7" s="428" t="str">
        <f>INDEX(Master_List_Fluid_Composition,MATCH($C7,Array_Component_Number,0),MATCH(INDEX(Master_List_Fluid_Contents,MATCH('Data Sheet'!$B$3,Fluid_Contents,0),2),Master_List_Column_Title_Gas_ID_Tag,0))</f>
        <v>CARBON DIOXIDE - CO2</v>
      </c>
      <c r="E7" s="428"/>
      <c r="F7" s="428"/>
      <c r="G7" s="428"/>
      <c r="H7" s="429"/>
      <c r="I7" s="430">
        <f>INDEX(Master_List_Fluid_Composition,MATCH($C7,Array_Component_Number,0),MATCH(INDEX(Master_List_Fluid_Contents,MATCH('Data Sheet'!$B$3,Fluid_Contents,0),3),Master_List_Column_Title_Gas_ID_Tag,0))</f>
        <v>1.0000000000000001E-5</v>
      </c>
      <c r="J7" s="431"/>
      <c r="K7" s="426" t="s">
        <v>107</v>
      </c>
      <c r="L7" s="432"/>
      <c r="M7" s="433">
        <f>IF(D7="-","",IF($O$6='Process DB'!$C$89,'Process CL'!H38,'Process CL'!I38))</f>
        <v>1.0000000000000001E-5</v>
      </c>
      <c r="N7" s="434"/>
      <c r="O7" s="233" t="str">
        <f>IF(D7="-","",$O$6)</f>
        <v>VOL %</v>
      </c>
      <c r="P7" s="435">
        <v>99.95</v>
      </c>
      <c r="Q7" s="436"/>
      <c r="R7" s="234" t="s">
        <v>107</v>
      </c>
      <c r="S7" s="426" t="s">
        <v>119</v>
      </c>
      <c r="T7" s="432"/>
      <c r="U7" s="433">
        <f>IF(D7="-","",IF($W$6='Process DB'!$C$89,'Process CL'!I102,'Process CL'!J102))</f>
        <v>99.95</v>
      </c>
      <c r="V7" s="434"/>
      <c r="W7" s="233" t="str">
        <f>IF(D7="-","",$W$6)</f>
        <v>VOL %</v>
      </c>
      <c r="X7" s="231"/>
      <c r="Y7" s="443" t="e">
        <f>IF(D7="-","",IF($AA$6='Process DB'!$C$89,'Process CL'!L204,'Process CL'!M204))</f>
        <v>#DIV/0!</v>
      </c>
      <c r="Z7" s="443"/>
      <c r="AA7" s="235" t="str">
        <f>IF(D7="-","",$AA$6)</f>
        <v>VOL %</v>
      </c>
      <c r="AB7" s="236"/>
      <c r="AC7" s="223"/>
    </row>
    <row r="8" spans="1:34" s="232" customFormat="1" ht="16.5">
      <c r="A8" s="228"/>
      <c r="B8" s="218">
        <f t="shared" si="0"/>
        <v>8</v>
      </c>
      <c r="C8" s="229" t="s">
        <v>193</v>
      </c>
      <c r="D8" s="428" t="str">
        <f>INDEX(Master_List_Fluid_Composition,MATCH($C8,Array_Component_Number,0),MATCH(INDEX(Master_List_Fluid_Contents,MATCH('Data Sheet'!$B$3,Fluid_Contents,0),2),Master_List_Column_Title_Gas_ID_Tag,0))</f>
        <v>CARBON MONOXIDE - CO</v>
      </c>
      <c r="E8" s="428"/>
      <c r="F8" s="428"/>
      <c r="G8" s="428"/>
      <c r="H8" s="429"/>
      <c r="I8" s="430">
        <f>INDEX(Master_List_Fluid_Composition,MATCH($C8,Array_Component_Number,0),MATCH(INDEX(Master_List_Fluid_Contents,MATCH('Data Sheet'!$B$3,Fluid_Contents,0),3),Master_List_Column_Title_Gas_ID_Tag,0))</f>
        <v>1.0000000000000001E-5</v>
      </c>
      <c r="J8" s="431"/>
      <c r="K8" s="235" t="str">
        <f>IF(D8="-","",$K$7)</f>
        <v>VOL %</v>
      </c>
      <c r="L8" s="235"/>
      <c r="M8" s="433">
        <f>IF(D8="-","",IF($O$6='Process DB'!$C$89,'Process CL'!H39,'Process CL'!I39))</f>
        <v>1.0000000000000001E-5</v>
      </c>
      <c r="N8" s="434"/>
      <c r="O8" s="233" t="str">
        <f t="shared" ref="O8:O23" si="1">IF(D8="-","",$O$6)</f>
        <v>VOL %</v>
      </c>
      <c r="P8" s="435">
        <v>49</v>
      </c>
      <c r="Q8" s="436"/>
      <c r="R8" s="237" t="s">
        <v>108</v>
      </c>
      <c r="S8" s="426" t="s">
        <v>120</v>
      </c>
      <c r="T8" s="432"/>
      <c r="U8" s="433">
        <f>IF(D8="-","",IF($W$6='Process DB'!$C$89,'Process CL'!I103,'Process CL'!J103))</f>
        <v>4.8999999999999998E-3</v>
      </c>
      <c r="V8" s="434"/>
      <c r="W8" s="233" t="str">
        <f t="shared" ref="W8:W23" si="2">IF(D8="-","",$W$6)</f>
        <v>VOL %</v>
      </c>
      <c r="X8" s="231"/>
      <c r="Y8" s="443" t="e">
        <f>IF(D8="-","",IF($AA$6='Process DB'!$C$89,'Process CL'!L205,'Process CL'!M205))</f>
        <v>#DIV/0!</v>
      </c>
      <c r="Z8" s="443"/>
      <c r="AA8" s="235" t="str">
        <f t="shared" ref="AA8:AA23" si="3">IF(D8="-","",$AA$6)</f>
        <v>VOL %</v>
      </c>
      <c r="AB8" s="236"/>
      <c r="AC8" s="223"/>
    </row>
    <row r="9" spans="1:34" s="232" customFormat="1" ht="16.5">
      <c r="A9" s="228"/>
      <c r="B9" s="218">
        <f t="shared" si="0"/>
        <v>9</v>
      </c>
      <c r="C9" s="229" t="s">
        <v>194</v>
      </c>
      <c r="D9" s="428" t="str">
        <f>INDEX(Master_List_Fluid_Composition,MATCH($C9,Array_Component_Number,0),MATCH(INDEX(Master_List_Fluid_Contents,MATCH('Data Sheet'!$B$3,Fluid_Contents,0),2),Master_List_Column_Title_Gas_ID_Tag,0))</f>
        <v>METHANE - CH4</v>
      </c>
      <c r="E9" s="428"/>
      <c r="F9" s="428"/>
      <c r="G9" s="428"/>
      <c r="H9" s="429"/>
      <c r="I9" s="430">
        <f>INDEX(Master_List_Fluid_Composition,MATCH($C9,Array_Component_Number,0),MATCH(INDEX(Master_List_Fluid_Contents,MATCH('Data Sheet'!$B$3,Fluid_Contents,0),3),Master_List_Column_Title_Gas_ID_Tag,0))</f>
        <v>1.0000000000000001E-5</v>
      </c>
      <c r="J9" s="431"/>
      <c r="K9" s="235" t="str">
        <f t="shared" ref="K9:K24" si="4">IF(D9="-","",$K$7)</f>
        <v>VOL %</v>
      </c>
      <c r="L9" s="235"/>
      <c r="M9" s="433">
        <f>IF(D9="-","",IF($O$6='Process DB'!$C$89,'Process CL'!H40,'Process CL'!I40))</f>
        <v>1.0000000000000001E-5</v>
      </c>
      <c r="N9" s="434"/>
      <c r="O9" s="233" t="str">
        <f t="shared" si="1"/>
        <v>VOL %</v>
      </c>
      <c r="P9" s="435">
        <v>1</v>
      </c>
      <c r="Q9" s="436"/>
      <c r="R9" s="237" t="s">
        <v>108</v>
      </c>
      <c r="S9" s="426" t="s">
        <v>121</v>
      </c>
      <c r="T9" s="432"/>
      <c r="U9" s="433">
        <f>IF(D9="-","",IF($W$6='Process DB'!$C$89,'Process CL'!I104,'Process CL'!J104))</f>
        <v>7.4872545757077467E-5</v>
      </c>
      <c r="V9" s="434"/>
      <c r="W9" s="233" t="str">
        <f t="shared" si="2"/>
        <v>VOL %</v>
      </c>
      <c r="X9" s="231"/>
      <c r="Y9" s="443" t="e">
        <f>IF(D9="-","",IF($AA$6='Process DB'!$C$89,'Process CL'!L206,'Process CL'!M206))</f>
        <v>#DIV/0!</v>
      </c>
      <c r="Z9" s="443"/>
      <c r="AA9" s="235" t="str">
        <f t="shared" si="3"/>
        <v>VOL %</v>
      </c>
      <c r="AB9" s="236"/>
      <c r="AC9" s="223"/>
    </row>
    <row r="10" spans="1:34" s="232" customFormat="1" ht="16.5">
      <c r="A10" s="228"/>
      <c r="B10" s="218">
        <f t="shared" si="0"/>
        <v>10</v>
      </c>
      <c r="C10" s="229" t="s">
        <v>195</v>
      </c>
      <c r="D10" s="428" t="str">
        <f>INDEX(Master_List_Fluid_Composition,MATCH($C10,Array_Component_Number,0),MATCH(INDEX(Master_List_Fluid_Contents,MATCH('Data Sheet'!$B$3,Fluid_Contents,0),2),Master_List_Column_Title_Gas_ID_Tag,0))</f>
        <v>NITROGEN - N2</v>
      </c>
      <c r="E10" s="428"/>
      <c r="F10" s="428"/>
      <c r="G10" s="428"/>
      <c r="H10" s="429"/>
      <c r="I10" s="430">
        <f>INDEX(Master_List_Fluid_Composition,MATCH($C10,Array_Component_Number,0),MATCH(INDEX(Master_List_Fluid_Contents,MATCH('Data Sheet'!$B$3,Fluid_Contents,0),3),Master_List_Column_Title_Gas_ID_Tag,0))</f>
        <v>4.0000000000000003E-5</v>
      </c>
      <c r="J10" s="431"/>
      <c r="K10" s="235" t="str">
        <f t="shared" si="4"/>
        <v>VOL %</v>
      </c>
      <c r="L10" s="235"/>
      <c r="M10" s="433">
        <f>IF(D10="-","",IF($O$6='Process DB'!$C$89,'Process CL'!H41,'Process CL'!I41))</f>
        <v>4.0000000000000003E-5</v>
      </c>
      <c r="N10" s="434"/>
      <c r="O10" s="233" t="str">
        <f t="shared" si="1"/>
        <v>VOL %</v>
      </c>
      <c r="P10" s="435">
        <v>0.03</v>
      </c>
      <c r="Q10" s="436"/>
      <c r="R10" s="237" t="s">
        <v>107</v>
      </c>
      <c r="S10" s="426" t="s">
        <v>121</v>
      </c>
      <c r="T10" s="432"/>
      <c r="U10" s="433">
        <f>IF(D10="-","",IF($W$6='Process DB'!$C$89,'Process CL'!I105,'Process CL'!J105))</f>
        <v>2.2461763727123243E-2</v>
      </c>
      <c r="V10" s="434"/>
      <c r="W10" s="233" t="str">
        <f t="shared" si="2"/>
        <v>VOL %</v>
      </c>
      <c r="X10" s="231"/>
      <c r="Y10" s="443" t="e">
        <f>IF(D10="-","",IF($AA$6='Process DB'!$C$89,'Process CL'!L207,'Process CL'!M207))</f>
        <v>#DIV/0!</v>
      </c>
      <c r="Z10" s="443"/>
      <c r="AA10" s="235" t="str">
        <f t="shared" si="3"/>
        <v>VOL %</v>
      </c>
      <c r="AB10" s="236"/>
      <c r="AC10" s="223"/>
    </row>
    <row r="11" spans="1:34" s="232" customFormat="1" ht="16.5">
      <c r="A11" s="228"/>
      <c r="B11" s="218">
        <f t="shared" si="0"/>
        <v>11</v>
      </c>
      <c r="C11" s="229" t="s">
        <v>196</v>
      </c>
      <c r="D11" s="428" t="str">
        <f>INDEX(Master_List_Fluid_Composition,MATCH($C11,Array_Component_Number,0),MATCH(INDEX(Master_List_Fluid_Contents,MATCH('Data Sheet'!$B$3,Fluid_Contents,0),2),Master_List_Column_Title_Gas_ID_Tag,0))</f>
        <v>OXYGEN - O2</v>
      </c>
      <c r="E11" s="428"/>
      <c r="F11" s="428"/>
      <c r="G11" s="428"/>
      <c r="H11" s="429"/>
      <c r="I11" s="430">
        <f>INDEX(Master_List_Fluid_Composition,MATCH($C11,Array_Component_Number,0),MATCH(INDEX(Master_List_Fluid_Contents,MATCH('Data Sheet'!$B$3,Fluid_Contents,0),3),Master_List_Column_Title_Gas_ID_Tag,0))</f>
        <v>1.0000000000000001E-5</v>
      </c>
      <c r="J11" s="431"/>
      <c r="K11" s="235" t="str">
        <f t="shared" si="4"/>
        <v>VOL %</v>
      </c>
      <c r="L11" s="235"/>
      <c r="M11" s="433">
        <f>IF(D11="-","",IF($O$6='Process DB'!$C$89,'Process CL'!H42,'Process CL'!I42))</f>
        <v>1.0000000000000001E-5</v>
      </c>
      <c r="N11" s="434"/>
      <c r="O11" s="233" t="str">
        <f t="shared" si="1"/>
        <v>VOL %</v>
      </c>
      <c r="P11" s="435">
        <v>0.03</v>
      </c>
      <c r="Q11" s="436"/>
      <c r="R11" s="237" t="s">
        <v>107</v>
      </c>
      <c r="S11" s="426" t="s">
        <v>121</v>
      </c>
      <c r="T11" s="432"/>
      <c r="U11" s="433">
        <f>IF(D11="-","",IF($W$6='Process DB'!$C$89,'Process CL'!I106,'Process CL'!J106))</f>
        <v>2.2461763727123243E-2</v>
      </c>
      <c r="V11" s="434"/>
      <c r="W11" s="233" t="str">
        <f t="shared" si="2"/>
        <v>VOL %</v>
      </c>
      <c r="X11" s="231"/>
      <c r="Y11" s="443" t="e">
        <f>IF(D11="-","",IF($AA$6='Process DB'!$C$89,'Process CL'!L208,'Process CL'!M208))</f>
        <v>#DIV/0!</v>
      </c>
      <c r="Z11" s="443"/>
      <c r="AA11" s="235" t="str">
        <f t="shared" si="3"/>
        <v>VOL %</v>
      </c>
      <c r="AB11" s="236"/>
      <c r="AC11" s="223"/>
    </row>
    <row r="12" spans="1:34" s="232" customFormat="1" ht="16.5">
      <c r="A12" s="228"/>
      <c r="B12" s="218">
        <f t="shared" si="0"/>
        <v>12</v>
      </c>
      <c r="C12" s="229" t="s">
        <v>197</v>
      </c>
      <c r="D12" s="428" t="str">
        <f>INDEX(Master_List_Fluid_Composition,MATCH($C12,Array_Component_Number,0),MATCH(INDEX(Master_List_Fluid_Contents,MATCH('Data Sheet'!$B$3,Fluid_Contents,0),2),Master_List_Column_Title_Gas_ID_Tag,0))</f>
        <v>HELIUM - He</v>
      </c>
      <c r="E12" s="428"/>
      <c r="F12" s="428"/>
      <c r="G12" s="428"/>
      <c r="H12" s="429"/>
      <c r="I12" s="430">
        <f>INDEX(Master_List_Fluid_Composition,MATCH($C12,Array_Component_Number,0),MATCH(INDEX(Master_List_Fluid_Contents,MATCH('Data Sheet'!$B$3,Fluid_Contents,0),3),Master_List_Column_Title_Gas_ID_Tag,0))</f>
        <v>99.999899999999997</v>
      </c>
      <c r="J12" s="431"/>
      <c r="K12" s="235" t="str">
        <f t="shared" si="4"/>
        <v>VOL %</v>
      </c>
      <c r="L12" s="235"/>
      <c r="M12" s="433">
        <f>IF(D12="-","",IF($O$6='Process DB'!$C$89,'Process CL'!H43,'Process CL'!I43))</f>
        <v>99.999899999999997</v>
      </c>
      <c r="N12" s="434"/>
      <c r="O12" s="233" t="str">
        <f t="shared" si="1"/>
        <v>VOL %</v>
      </c>
      <c r="P12" s="435"/>
      <c r="Q12" s="436"/>
      <c r="R12" s="237"/>
      <c r="S12" s="426"/>
      <c r="T12" s="432"/>
      <c r="U12" s="433">
        <f>IF(D12="-","",IF($W$6='Process DB'!$C$89,'Process CL'!I107,'Process CL'!J107))</f>
        <v>0</v>
      </c>
      <c r="V12" s="434"/>
      <c r="W12" s="233" t="str">
        <f t="shared" si="2"/>
        <v>VOL %</v>
      </c>
      <c r="X12" s="231"/>
      <c r="Y12" s="443" t="e">
        <f>IF(D12="-","",IF($AA$6='Process DB'!$C$89,'Process CL'!L209,'Process CL'!M209))</f>
        <v>#DIV/0!</v>
      </c>
      <c r="Z12" s="443"/>
      <c r="AA12" s="235" t="str">
        <f t="shared" si="3"/>
        <v>VOL %</v>
      </c>
      <c r="AB12" s="236"/>
      <c r="AC12" s="223"/>
    </row>
    <row r="13" spans="1:34" s="232" customFormat="1" ht="16.5">
      <c r="A13" s="228"/>
      <c r="B13" s="218">
        <f t="shared" si="0"/>
        <v>13</v>
      </c>
      <c r="C13" s="229" t="s">
        <v>198</v>
      </c>
      <c r="D13" s="428" t="str">
        <f>INDEX(Master_List_Fluid_Composition,MATCH($C13,Array_Component_Number,0),MATCH(INDEX(Master_List_Fluid_Contents,MATCH('Data Sheet'!$B$3,Fluid_Contents,0),2),Master_List_Column_Title_Gas_ID_Tag,0))</f>
        <v>-</v>
      </c>
      <c r="E13" s="428"/>
      <c r="F13" s="428"/>
      <c r="G13" s="428"/>
      <c r="H13" s="429"/>
      <c r="I13" s="430">
        <f>INDEX(Master_List_Fluid_Composition,MATCH($C13,Array_Component_Number,0),MATCH(INDEX(Master_List_Fluid_Contents,MATCH('Data Sheet'!$B$3,Fluid_Contents,0),3),Master_List_Column_Title_Gas_ID_Tag,0))</f>
        <v>0</v>
      </c>
      <c r="J13" s="431"/>
      <c r="K13" s="235" t="str">
        <f t="shared" si="4"/>
        <v/>
      </c>
      <c r="L13" s="235"/>
      <c r="M13" s="433" t="str">
        <f>IF(D13="-","",IF($O$6='Process DB'!$C$89,'Process CL'!H44,'Process CL'!I44))</f>
        <v/>
      </c>
      <c r="N13" s="434"/>
      <c r="O13" s="233" t="str">
        <f t="shared" si="1"/>
        <v/>
      </c>
      <c r="P13" s="435"/>
      <c r="Q13" s="436"/>
      <c r="R13" s="237"/>
      <c r="S13" s="426"/>
      <c r="T13" s="432"/>
      <c r="U13" s="433" t="str">
        <f>IF(D13="-","",IF($W$6='Process DB'!$C$89,'Process CL'!I108,'Process CL'!J108))</f>
        <v/>
      </c>
      <c r="V13" s="434"/>
      <c r="W13" s="233" t="str">
        <f t="shared" si="2"/>
        <v/>
      </c>
      <c r="X13" s="238"/>
      <c r="Y13" s="443" t="str">
        <f>IF(D13="-","",IF($AA$6='Process DB'!$C$89,'Process CL'!L210,'Process CL'!M210))</f>
        <v/>
      </c>
      <c r="Z13" s="443"/>
      <c r="AA13" s="235" t="str">
        <f t="shared" si="3"/>
        <v/>
      </c>
      <c r="AB13" s="239"/>
      <c r="AC13" s="223"/>
    </row>
    <row r="14" spans="1:34" s="232" customFormat="1" ht="16.5">
      <c r="A14" s="228"/>
      <c r="B14" s="218">
        <f t="shared" si="0"/>
        <v>14</v>
      </c>
      <c r="C14" s="229" t="s">
        <v>199</v>
      </c>
      <c r="D14" s="428" t="str">
        <f>INDEX(Master_List_Fluid_Composition,MATCH($C14,Array_Component_Number,0),MATCH(INDEX(Master_List_Fluid_Contents,MATCH('Data Sheet'!$B$3,Fluid_Contents,0),2),Master_List_Column_Title_Gas_ID_Tag,0))</f>
        <v>-</v>
      </c>
      <c r="E14" s="428"/>
      <c r="F14" s="428"/>
      <c r="G14" s="428"/>
      <c r="H14" s="429"/>
      <c r="I14" s="430">
        <f>INDEX(Master_List_Fluid_Composition,MATCH($C14,Array_Component_Number,0),MATCH(INDEX(Master_List_Fluid_Contents,MATCH('Data Sheet'!$B$3,Fluid_Contents,0),3),Master_List_Column_Title_Gas_ID_Tag,0))</f>
        <v>0</v>
      </c>
      <c r="J14" s="431"/>
      <c r="K14" s="235" t="str">
        <f t="shared" si="4"/>
        <v/>
      </c>
      <c r="L14" s="235"/>
      <c r="M14" s="433" t="str">
        <f>IF(D14="-","",IF($O$6='Process DB'!$C$89,'Process CL'!H45,'Process CL'!I45))</f>
        <v/>
      </c>
      <c r="N14" s="434"/>
      <c r="O14" s="233" t="str">
        <f t="shared" si="1"/>
        <v/>
      </c>
      <c r="P14" s="435"/>
      <c r="Q14" s="436"/>
      <c r="R14" s="237"/>
      <c r="S14" s="426"/>
      <c r="T14" s="432"/>
      <c r="U14" s="433" t="str">
        <f>IF(D14="-","",IF($W$6='Process DB'!$C$89,'Process CL'!I109,'Process CL'!J109))</f>
        <v/>
      </c>
      <c r="V14" s="434"/>
      <c r="W14" s="233" t="str">
        <f t="shared" si="2"/>
        <v/>
      </c>
      <c r="X14" s="238"/>
      <c r="Y14" s="443" t="str">
        <f>IF(D14="-","",IF($AA$6='Process DB'!$C$89,'Process CL'!L211,'Process CL'!M211))</f>
        <v/>
      </c>
      <c r="Z14" s="443"/>
      <c r="AA14" s="235" t="str">
        <f t="shared" si="3"/>
        <v/>
      </c>
      <c r="AB14" s="239"/>
      <c r="AC14" s="223"/>
    </row>
    <row r="15" spans="1:34" s="232" customFormat="1" ht="16.5">
      <c r="A15" s="228"/>
      <c r="B15" s="218">
        <f t="shared" si="0"/>
        <v>15</v>
      </c>
      <c r="C15" s="229" t="s">
        <v>200</v>
      </c>
      <c r="D15" s="428" t="str">
        <f>INDEX(Master_List_Fluid_Composition,MATCH($C15,Array_Component_Number,0),MATCH(INDEX(Master_List_Fluid_Contents,MATCH('Data Sheet'!$B$3,Fluid_Contents,0),2),Master_List_Column_Title_Gas_ID_Tag,0))</f>
        <v>-</v>
      </c>
      <c r="E15" s="428"/>
      <c r="F15" s="428"/>
      <c r="G15" s="428"/>
      <c r="H15" s="429"/>
      <c r="I15" s="430">
        <f>INDEX(Master_List_Fluid_Composition,MATCH($C15,Array_Component_Number,0),MATCH(INDEX(Master_List_Fluid_Contents,MATCH('Data Sheet'!$B$3,Fluid_Contents,0),3),Master_List_Column_Title_Gas_ID_Tag,0))</f>
        <v>0</v>
      </c>
      <c r="J15" s="431"/>
      <c r="K15" s="235" t="str">
        <f t="shared" si="4"/>
        <v/>
      </c>
      <c r="L15" s="235"/>
      <c r="M15" s="433" t="str">
        <f>IF(D15="-","",IF($O$6='Process DB'!$C$89,'Process CL'!H46,'Process CL'!I46))</f>
        <v/>
      </c>
      <c r="N15" s="434"/>
      <c r="O15" s="233" t="str">
        <f t="shared" si="1"/>
        <v/>
      </c>
      <c r="P15" s="435"/>
      <c r="Q15" s="436"/>
      <c r="R15" s="237"/>
      <c r="S15" s="426"/>
      <c r="T15" s="432"/>
      <c r="U15" s="433" t="str">
        <f>IF(D15="-","",IF($W$6='Process DB'!$C$89,'Process CL'!I110,'Process CL'!J110))</f>
        <v/>
      </c>
      <c r="V15" s="434"/>
      <c r="W15" s="233" t="str">
        <f t="shared" si="2"/>
        <v/>
      </c>
      <c r="X15" s="238"/>
      <c r="Y15" s="443" t="str">
        <f>IF(D15="-","",IF($AA$6='Process DB'!$C$89,'Process CL'!L212,'Process CL'!M212))</f>
        <v/>
      </c>
      <c r="Z15" s="443"/>
      <c r="AA15" s="235" t="str">
        <f t="shared" si="3"/>
        <v/>
      </c>
      <c r="AB15" s="239"/>
      <c r="AC15" s="223"/>
    </row>
    <row r="16" spans="1:34" s="232" customFormat="1" ht="16.5">
      <c r="A16" s="228"/>
      <c r="B16" s="218">
        <f t="shared" si="0"/>
        <v>16</v>
      </c>
      <c r="C16" s="229" t="s">
        <v>201</v>
      </c>
      <c r="D16" s="428" t="str">
        <f>INDEX(Master_List_Fluid_Composition,MATCH($C16,Array_Component_Number,0),MATCH(INDEX(Master_List_Fluid_Contents,MATCH('Data Sheet'!$B$3,Fluid_Contents,0),2),Master_List_Column_Title_Gas_ID_Tag,0))</f>
        <v>-</v>
      </c>
      <c r="E16" s="428"/>
      <c r="F16" s="428"/>
      <c r="G16" s="428"/>
      <c r="H16" s="429"/>
      <c r="I16" s="430">
        <f>INDEX(Master_List_Fluid_Composition,MATCH($C16,Array_Component_Number,0),MATCH(INDEX(Master_List_Fluid_Contents,MATCH('Data Sheet'!$B$3,Fluid_Contents,0),3),Master_List_Column_Title_Gas_ID_Tag,0))</f>
        <v>0</v>
      </c>
      <c r="J16" s="431"/>
      <c r="K16" s="235" t="str">
        <f t="shared" si="4"/>
        <v/>
      </c>
      <c r="L16" s="235"/>
      <c r="M16" s="433" t="str">
        <f>IF(D16="-","",IF($O$6='Process DB'!$C$89,'Process CL'!H47,'Process CL'!I47))</f>
        <v/>
      </c>
      <c r="N16" s="434"/>
      <c r="O16" s="233" t="str">
        <f t="shared" si="1"/>
        <v/>
      </c>
      <c r="P16" s="435"/>
      <c r="Q16" s="436"/>
      <c r="R16" s="237"/>
      <c r="S16" s="426"/>
      <c r="T16" s="432"/>
      <c r="U16" s="433" t="str">
        <f>IF(D16="-","",IF($W$6='Process DB'!$C$89,'Process CL'!I111,'Process CL'!J111))</f>
        <v/>
      </c>
      <c r="V16" s="434"/>
      <c r="W16" s="233" t="str">
        <f t="shared" si="2"/>
        <v/>
      </c>
      <c r="X16" s="238"/>
      <c r="Y16" s="443" t="str">
        <f>IF(D16="-","",IF($AA$6='Process DB'!$C$89,'Process CL'!L213,'Process CL'!M213))</f>
        <v/>
      </c>
      <c r="Z16" s="443"/>
      <c r="AA16" s="235" t="str">
        <f t="shared" si="3"/>
        <v/>
      </c>
      <c r="AB16" s="239"/>
      <c r="AC16" s="223"/>
    </row>
    <row r="17" spans="1:32" s="232" customFormat="1" ht="16.5">
      <c r="A17" s="228"/>
      <c r="B17" s="218">
        <f t="shared" si="0"/>
        <v>17</v>
      </c>
      <c r="C17" s="229" t="s">
        <v>202</v>
      </c>
      <c r="D17" s="428" t="str">
        <f>INDEX(Master_List_Fluid_Composition,MATCH($C17,Array_Component_Number,0),MATCH(INDEX(Master_List_Fluid_Contents,MATCH('Data Sheet'!$B$3,Fluid_Contents,0),2),Master_List_Column_Title_Gas_ID_Tag,0))</f>
        <v>-</v>
      </c>
      <c r="E17" s="428"/>
      <c r="F17" s="428"/>
      <c r="G17" s="428"/>
      <c r="H17" s="429"/>
      <c r="I17" s="430">
        <f>INDEX(Master_List_Fluid_Composition,MATCH($C17,Array_Component_Number,0),MATCH(INDEX(Master_List_Fluid_Contents,MATCH('Data Sheet'!$B$3,Fluid_Contents,0),3),Master_List_Column_Title_Gas_ID_Tag,0))</f>
        <v>0</v>
      </c>
      <c r="J17" s="431"/>
      <c r="K17" s="235" t="str">
        <f t="shared" si="4"/>
        <v/>
      </c>
      <c r="L17" s="235"/>
      <c r="M17" s="433" t="str">
        <f>IF(D17="-","",IF($O$6='Process DB'!$C$89,'Process CL'!H48,'Process CL'!I48))</f>
        <v/>
      </c>
      <c r="N17" s="434"/>
      <c r="O17" s="233" t="str">
        <f t="shared" si="1"/>
        <v/>
      </c>
      <c r="P17" s="435"/>
      <c r="Q17" s="436"/>
      <c r="R17" s="237"/>
      <c r="S17" s="426"/>
      <c r="T17" s="432"/>
      <c r="U17" s="433" t="str">
        <f>IF(D17="-","",IF($W$6='Process DB'!$C$89,'Process CL'!I112,'Process CL'!J112))</f>
        <v/>
      </c>
      <c r="V17" s="434"/>
      <c r="W17" s="233" t="str">
        <f t="shared" si="2"/>
        <v/>
      </c>
      <c r="X17" s="238"/>
      <c r="Y17" s="443" t="str">
        <f>IF(D17="-","",IF($AA$6='Process DB'!$C$89,'Process CL'!L214,'Process CL'!M214))</f>
        <v/>
      </c>
      <c r="Z17" s="443"/>
      <c r="AA17" s="235" t="str">
        <f t="shared" si="3"/>
        <v/>
      </c>
      <c r="AB17" s="239"/>
      <c r="AC17" s="223"/>
    </row>
    <row r="18" spans="1:32" s="232" customFormat="1" ht="16.5">
      <c r="A18" s="228"/>
      <c r="B18" s="218">
        <f t="shared" si="0"/>
        <v>18</v>
      </c>
      <c r="C18" s="229" t="s">
        <v>203</v>
      </c>
      <c r="D18" s="428" t="str">
        <f>INDEX(Master_List_Fluid_Composition,MATCH($C18,Array_Component_Number,0),MATCH(INDEX(Master_List_Fluid_Contents,MATCH('Data Sheet'!$B$3,Fluid_Contents,0),2),Master_List_Column_Title_Gas_ID_Tag,0))</f>
        <v>-</v>
      </c>
      <c r="E18" s="428"/>
      <c r="F18" s="428"/>
      <c r="G18" s="428"/>
      <c r="H18" s="429"/>
      <c r="I18" s="430">
        <f>INDEX(Master_List_Fluid_Composition,MATCH($C18,Array_Component_Number,0),MATCH(INDEX(Master_List_Fluid_Contents,MATCH('Data Sheet'!$B$3,Fluid_Contents,0),3),Master_List_Column_Title_Gas_ID_Tag,0))</f>
        <v>0</v>
      </c>
      <c r="J18" s="431"/>
      <c r="K18" s="235" t="str">
        <f t="shared" si="4"/>
        <v/>
      </c>
      <c r="L18" s="235"/>
      <c r="M18" s="433" t="str">
        <f>IF(D18="-","",IF($O$6='Process DB'!$C$89,'Process CL'!H49,'Process CL'!I49))</f>
        <v/>
      </c>
      <c r="N18" s="434"/>
      <c r="O18" s="233" t="str">
        <f t="shared" si="1"/>
        <v/>
      </c>
      <c r="P18" s="435"/>
      <c r="Q18" s="436"/>
      <c r="R18" s="237"/>
      <c r="S18" s="426"/>
      <c r="T18" s="432"/>
      <c r="U18" s="433" t="str">
        <f>IF(D18="-","",IF($W$6='Process DB'!$C$89,'Process CL'!I113,'Process CL'!J113))</f>
        <v/>
      </c>
      <c r="V18" s="434"/>
      <c r="W18" s="233" t="str">
        <f t="shared" si="2"/>
        <v/>
      </c>
      <c r="X18" s="238"/>
      <c r="Y18" s="443" t="str">
        <f>IF(D18="-","",IF($AA$6='Process DB'!$C$89,'Process CL'!L215,'Process CL'!M215))</f>
        <v/>
      </c>
      <c r="Z18" s="443"/>
      <c r="AA18" s="235" t="str">
        <f t="shared" si="3"/>
        <v/>
      </c>
      <c r="AB18" s="239"/>
      <c r="AC18" s="223"/>
    </row>
    <row r="19" spans="1:32" s="232" customFormat="1" ht="16.5">
      <c r="A19" s="228"/>
      <c r="B19" s="218">
        <f t="shared" si="0"/>
        <v>19</v>
      </c>
      <c r="C19" s="229" t="s">
        <v>204</v>
      </c>
      <c r="D19" s="428" t="str">
        <f>INDEX(Master_List_Fluid_Composition,MATCH($C19,Array_Component_Number,0),MATCH(INDEX(Master_List_Fluid_Contents,MATCH('Data Sheet'!$B$3,Fluid_Contents,0),2),Master_List_Column_Title_Gas_ID_Tag,0))</f>
        <v>-</v>
      </c>
      <c r="E19" s="428"/>
      <c r="F19" s="428"/>
      <c r="G19" s="428"/>
      <c r="H19" s="429"/>
      <c r="I19" s="430">
        <f>INDEX(Master_List_Fluid_Composition,MATCH($C19,Array_Component_Number,0),MATCH(INDEX(Master_List_Fluid_Contents,MATCH('Data Sheet'!$B$3,Fluid_Contents,0),3),Master_List_Column_Title_Gas_ID_Tag,0))</f>
        <v>0</v>
      </c>
      <c r="J19" s="431"/>
      <c r="K19" s="235" t="str">
        <f t="shared" si="4"/>
        <v/>
      </c>
      <c r="L19" s="235"/>
      <c r="M19" s="433" t="str">
        <f>IF(D19="-","",IF($O$6='Process DB'!$C$89,'Process CL'!H50,'Process CL'!I50))</f>
        <v/>
      </c>
      <c r="N19" s="434"/>
      <c r="O19" s="233" t="str">
        <f t="shared" si="1"/>
        <v/>
      </c>
      <c r="P19" s="435"/>
      <c r="Q19" s="436"/>
      <c r="R19" s="237"/>
      <c r="S19" s="426"/>
      <c r="T19" s="432"/>
      <c r="U19" s="433" t="str">
        <f>IF(D19="-","",IF($W$6='Process DB'!$C$89,'Process CL'!I114,'Process CL'!J114))</f>
        <v/>
      </c>
      <c r="V19" s="434"/>
      <c r="W19" s="233" t="str">
        <f t="shared" si="2"/>
        <v/>
      </c>
      <c r="X19" s="238"/>
      <c r="Y19" s="443" t="str">
        <f>IF(D19="-","",IF($AA$6='Process DB'!$C$89,'Process CL'!L216,'Process CL'!M216))</f>
        <v/>
      </c>
      <c r="Z19" s="443"/>
      <c r="AA19" s="235" t="str">
        <f t="shared" si="3"/>
        <v/>
      </c>
      <c r="AB19" s="239"/>
      <c r="AC19" s="223"/>
    </row>
    <row r="20" spans="1:32" s="232" customFormat="1" ht="16.5">
      <c r="A20" s="228"/>
      <c r="B20" s="218">
        <f t="shared" si="0"/>
        <v>20</v>
      </c>
      <c r="C20" s="229" t="s">
        <v>205</v>
      </c>
      <c r="D20" s="428" t="str">
        <f>INDEX(Master_List_Fluid_Composition,MATCH($C20,Array_Component_Number,0),MATCH(INDEX(Master_List_Fluid_Contents,MATCH('Data Sheet'!$B$3,Fluid_Contents,0),2),Master_List_Column_Title_Gas_ID_Tag,0))</f>
        <v>-</v>
      </c>
      <c r="E20" s="428"/>
      <c r="F20" s="428"/>
      <c r="G20" s="428"/>
      <c r="H20" s="429"/>
      <c r="I20" s="430">
        <f>INDEX(Master_List_Fluid_Composition,MATCH($C20,Array_Component_Number,0),MATCH(INDEX(Master_List_Fluid_Contents,MATCH('Data Sheet'!$B$3,Fluid_Contents,0),3),Master_List_Column_Title_Gas_ID_Tag,0))</f>
        <v>0</v>
      </c>
      <c r="J20" s="431"/>
      <c r="K20" s="235" t="str">
        <f t="shared" si="4"/>
        <v/>
      </c>
      <c r="L20" s="235"/>
      <c r="M20" s="433" t="str">
        <f>IF(D20="-","",IF($O$6='Process DB'!$C$89,'Process CL'!H51,'Process CL'!I51))</f>
        <v/>
      </c>
      <c r="N20" s="434"/>
      <c r="O20" s="233" t="str">
        <f t="shared" si="1"/>
        <v/>
      </c>
      <c r="P20" s="435"/>
      <c r="Q20" s="436"/>
      <c r="R20" s="237"/>
      <c r="S20" s="426"/>
      <c r="T20" s="432"/>
      <c r="U20" s="433" t="str">
        <f>IF(D20="-","",IF($W$6='Process DB'!$C$89,'Process CL'!I115,'Process CL'!J115))</f>
        <v/>
      </c>
      <c r="V20" s="434"/>
      <c r="W20" s="233" t="str">
        <f t="shared" si="2"/>
        <v/>
      </c>
      <c r="X20" s="238"/>
      <c r="Y20" s="443" t="str">
        <f>IF(D20="-","",IF($AA$6='Process DB'!$C$89,'Process CL'!L217,'Process CL'!M217))</f>
        <v/>
      </c>
      <c r="Z20" s="443"/>
      <c r="AA20" s="235" t="str">
        <f t="shared" si="3"/>
        <v/>
      </c>
      <c r="AB20" s="239"/>
      <c r="AC20" s="223"/>
    </row>
    <row r="21" spans="1:32" s="232" customFormat="1" ht="16.5">
      <c r="A21" s="228"/>
      <c r="B21" s="218">
        <f t="shared" si="0"/>
        <v>21</v>
      </c>
      <c r="C21" s="229" t="s">
        <v>206</v>
      </c>
      <c r="D21" s="428" t="str">
        <f>INDEX(Master_List_Fluid_Composition,MATCH($C21,Array_Component_Number,0),MATCH(INDEX(Master_List_Fluid_Contents,MATCH('Data Sheet'!$B$3,Fluid_Contents,0),2),Master_List_Column_Title_Gas_ID_Tag,0))</f>
        <v>-</v>
      </c>
      <c r="E21" s="428"/>
      <c r="F21" s="428"/>
      <c r="G21" s="428"/>
      <c r="H21" s="429"/>
      <c r="I21" s="430">
        <f>INDEX(Master_List_Fluid_Composition,MATCH($C21,Array_Component_Number,0),MATCH(INDEX(Master_List_Fluid_Contents,MATCH('Data Sheet'!$B$3,Fluid_Contents,0),3),Master_List_Column_Title_Gas_ID_Tag,0))</f>
        <v>0</v>
      </c>
      <c r="J21" s="431"/>
      <c r="K21" s="235" t="str">
        <f t="shared" si="4"/>
        <v/>
      </c>
      <c r="L21" s="235"/>
      <c r="M21" s="433" t="str">
        <f>IF(D21="-","",IF($O$6='Process DB'!$C$89,'Process CL'!H52,'Process CL'!I52))</f>
        <v/>
      </c>
      <c r="N21" s="434"/>
      <c r="O21" s="233" t="str">
        <f t="shared" si="1"/>
        <v/>
      </c>
      <c r="P21" s="435"/>
      <c r="Q21" s="436"/>
      <c r="R21" s="237"/>
      <c r="S21" s="426"/>
      <c r="T21" s="432"/>
      <c r="U21" s="433" t="str">
        <f>IF(D21="-","",IF($W$6='Process DB'!$C$89,'Process CL'!I116,'Process CL'!J116))</f>
        <v/>
      </c>
      <c r="V21" s="434"/>
      <c r="W21" s="233" t="str">
        <f t="shared" si="2"/>
        <v/>
      </c>
      <c r="X21" s="238"/>
      <c r="Y21" s="443" t="str">
        <f>IF(D21="-","",IF($AA$6='Process DB'!$C$89,'Process CL'!L218,'Process CL'!M218))</f>
        <v/>
      </c>
      <c r="Z21" s="443"/>
      <c r="AA21" s="235" t="str">
        <f t="shared" si="3"/>
        <v/>
      </c>
      <c r="AB21" s="239"/>
      <c r="AC21" s="223"/>
    </row>
    <row r="22" spans="1:32" s="232" customFormat="1" ht="16.5">
      <c r="A22" s="228"/>
      <c r="B22" s="218">
        <f t="shared" si="0"/>
        <v>22</v>
      </c>
      <c r="C22" s="229" t="s">
        <v>207</v>
      </c>
      <c r="D22" s="428" t="str">
        <f>INDEX(Master_List_Fluid_Composition,MATCH($C22,Array_Component_Number,0),MATCH(INDEX(Master_List_Fluid_Contents,MATCH('Data Sheet'!$B$3,Fluid_Contents,0),2),Master_List_Column_Title_Gas_ID_Tag,0))</f>
        <v>-</v>
      </c>
      <c r="E22" s="428"/>
      <c r="F22" s="428"/>
      <c r="G22" s="428"/>
      <c r="H22" s="429"/>
      <c r="I22" s="430">
        <f>INDEX(Master_List_Fluid_Composition,MATCH($C22,Array_Component_Number,0),MATCH(INDEX(Master_List_Fluid_Contents,MATCH('Data Sheet'!$B$3,Fluid_Contents,0),3),Master_List_Column_Title_Gas_ID_Tag,0))</f>
        <v>0</v>
      </c>
      <c r="J22" s="431"/>
      <c r="K22" s="235" t="str">
        <f t="shared" si="4"/>
        <v/>
      </c>
      <c r="L22" s="235"/>
      <c r="M22" s="433" t="str">
        <f>IF(D22="-","",IF($O$6='Process DB'!$C$89,'Process CL'!H53,'Process CL'!I53))</f>
        <v/>
      </c>
      <c r="N22" s="434"/>
      <c r="O22" s="233" t="str">
        <f t="shared" si="1"/>
        <v/>
      </c>
      <c r="P22" s="435"/>
      <c r="Q22" s="436"/>
      <c r="R22" s="237"/>
      <c r="S22" s="426"/>
      <c r="T22" s="432"/>
      <c r="U22" s="433" t="str">
        <f>IF(D22="-","",IF($W$6='Process DB'!$C$89,'Process CL'!I117,'Process CL'!J117))</f>
        <v/>
      </c>
      <c r="V22" s="434"/>
      <c r="W22" s="233" t="str">
        <f t="shared" si="2"/>
        <v/>
      </c>
      <c r="X22" s="238"/>
      <c r="Y22" s="443" t="str">
        <f>IF(D22="-","",IF($AA$6='Process DB'!$C$89,'Process CL'!L219,'Process CL'!M219))</f>
        <v/>
      </c>
      <c r="Z22" s="443"/>
      <c r="AA22" s="235" t="str">
        <f t="shared" si="3"/>
        <v/>
      </c>
      <c r="AB22" s="239"/>
      <c r="AC22" s="223"/>
    </row>
    <row r="23" spans="1:32" s="232" customFormat="1" ht="16.5">
      <c r="A23" s="228"/>
      <c r="B23" s="218">
        <f t="shared" si="0"/>
        <v>23</v>
      </c>
      <c r="C23" s="229" t="s">
        <v>208</v>
      </c>
      <c r="D23" s="428" t="str">
        <f>INDEX(Master_List_Fluid_Composition,MATCH($C23,Array_Component_Number,0),MATCH(INDEX(Master_List_Fluid_Contents,MATCH('Data Sheet'!$B$3,Fluid_Contents,0),2),Master_List_Column_Title_Gas_ID_Tag,0))</f>
        <v>-</v>
      </c>
      <c r="E23" s="428"/>
      <c r="F23" s="428"/>
      <c r="G23" s="428"/>
      <c r="H23" s="429"/>
      <c r="I23" s="430">
        <f>INDEX(Master_List_Fluid_Composition,MATCH($C23,Array_Component_Number,0),MATCH(INDEX(Master_List_Fluid_Contents,MATCH('Data Sheet'!$B$3,Fluid_Contents,0),3),Master_List_Column_Title_Gas_ID_Tag,0))</f>
        <v>0</v>
      </c>
      <c r="J23" s="431"/>
      <c r="K23" s="235" t="str">
        <f t="shared" si="4"/>
        <v/>
      </c>
      <c r="L23" s="235"/>
      <c r="M23" s="433" t="str">
        <f>IF(D23="-","",IF($O$6='Process DB'!$C$89,'Process CL'!H54,'Process CL'!I54))</f>
        <v/>
      </c>
      <c r="N23" s="434"/>
      <c r="O23" s="233" t="str">
        <f t="shared" si="1"/>
        <v/>
      </c>
      <c r="P23" s="435"/>
      <c r="Q23" s="436"/>
      <c r="R23" s="237"/>
      <c r="S23" s="426"/>
      <c r="T23" s="432"/>
      <c r="U23" s="433" t="str">
        <f>IF(D23="-","",IF($W$6='Process DB'!$C$89,'Process CL'!I118,'Process CL'!J118))</f>
        <v/>
      </c>
      <c r="V23" s="434"/>
      <c r="W23" s="233" t="str">
        <f t="shared" si="2"/>
        <v/>
      </c>
      <c r="X23" s="238"/>
      <c r="Y23" s="443" t="str">
        <f>IF(D23="-","",IF($AA$6='Process DB'!$C$89,'Process CL'!L220,'Process CL'!M220))</f>
        <v/>
      </c>
      <c r="Z23" s="443"/>
      <c r="AA23" s="235" t="str">
        <f t="shared" si="3"/>
        <v/>
      </c>
      <c r="AB23" s="239"/>
      <c r="AC23" s="223"/>
    </row>
    <row r="24" spans="1:32" ht="16.5">
      <c r="A24" s="217"/>
      <c r="B24" s="218">
        <f t="shared" si="0"/>
        <v>24</v>
      </c>
      <c r="C24" s="221"/>
      <c r="D24" s="222" t="s">
        <v>475</v>
      </c>
      <c r="E24" s="222"/>
      <c r="F24" s="222"/>
      <c r="G24" s="222"/>
      <c r="H24" s="222"/>
      <c r="I24" s="448">
        <f>SUM(I7:J23)+IF($K$6='Process DB'!$C$50,I6,IF($K$6='Process DB'!$C$51,I6/10000,0))</f>
        <v>100</v>
      </c>
      <c r="J24" s="449"/>
      <c r="K24" s="235" t="str">
        <f t="shared" si="4"/>
        <v>VOL %</v>
      </c>
      <c r="L24" s="240"/>
      <c r="M24" s="433">
        <f>IF($O$6='Process DB'!$C$89,'Process CL'!H55,'Process CL'!I55)</f>
        <v>100</v>
      </c>
      <c r="N24" s="434"/>
      <c r="O24" s="233" t="str">
        <f t="shared" ref="O24" si="5">$O$6</f>
        <v>VOL %</v>
      </c>
      <c r="P24" s="448"/>
      <c r="Q24" s="449"/>
      <c r="R24" s="241"/>
      <c r="S24" s="242"/>
      <c r="T24" s="243"/>
      <c r="U24" s="433">
        <f>IF($W$6='Process DB'!$C$89,'Process CL'!I119,'Process CL'!J119)</f>
        <v>100</v>
      </c>
      <c r="V24" s="434"/>
      <c r="W24" s="233" t="str">
        <f t="shared" ref="W24" si="6">$W$6</f>
        <v>VOL %</v>
      </c>
      <c r="X24" s="242"/>
      <c r="Y24" s="443" t="e">
        <f>IF($AA$6='Process DB'!$C$89,'Process CL'!L221,'Process CL'!M221)</f>
        <v>#DIV/0!</v>
      </c>
      <c r="Z24" s="443"/>
      <c r="AA24" s="235" t="str">
        <f t="shared" ref="AA24" si="7">$AA$6</f>
        <v>VOL %</v>
      </c>
      <c r="AB24" s="227"/>
      <c r="AC24" s="223"/>
    </row>
    <row r="25" spans="1:32" ht="16.5">
      <c r="A25" s="217"/>
      <c r="B25" s="218">
        <f t="shared" si="0"/>
        <v>25</v>
      </c>
      <c r="C25" s="221" t="s">
        <v>476</v>
      </c>
      <c r="D25" s="222"/>
      <c r="E25" s="222"/>
      <c r="F25" s="222"/>
      <c r="G25" s="426" t="s">
        <v>127</v>
      </c>
      <c r="H25" s="432"/>
      <c r="I25" s="444"/>
      <c r="J25" s="444"/>
      <c r="K25" s="444"/>
      <c r="L25" s="444"/>
      <c r="M25" s="444"/>
      <c r="N25" s="444"/>
      <c r="O25" s="444"/>
      <c r="P25" s="244"/>
      <c r="Q25" s="245"/>
      <c r="R25" s="241"/>
      <c r="S25" s="242"/>
      <c r="T25" s="222"/>
      <c r="U25" s="222"/>
      <c r="V25" s="235"/>
      <c r="W25" s="240"/>
      <c r="X25" s="241"/>
      <c r="Y25" s="241"/>
      <c r="Z25" s="235"/>
      <c r="AA25" s="226"/>
      <c r="AB25" s="227"/>
      <c r="AC25" s="223"/>
    </row>
    <row r="26" spans="1:32" ht="16.5">
      <c r="A26" s="217"/>
      <c r="B26" s="218">
        <f t="shared" si="0"/>
        <v>26</v>
      </c>
      <c r="C26" s="221" t="s">
        <v>477</v>
      </c>
      <c r="D26" s="246"/>
      <c r="E26" s="246"/>
      <c r="F26" s="246"/>
      <c r="G26" s="426" t="s">
        <v>125</v>
      </c>
      <c r="H26" s="432"/>
      <c r="I26" s="247"/>
      <c r="J26" s="445">
        <f>'Process CL'!D228</f>
        <v>0</v>
      </c>
      <c r="K26" s="445"/>
      <c r="L26" s="445"/>
      <c r="M26" s="445"/>
      <c r="N26" s="445"/>
      <c r="O26" s="248"/>
      <c r="P26" s="249"/>
      <c r="Q26" s="445">
        <f>'Process CL'!F228</f>
        <v>0</v>
      </c>
      <c r="R26" s="445"/>
      <c r="S26" s="445"/>
      <c r="T26" s="445"/>
      <c r="U26" s="445"/>
      <c r="V26" s="445"/>
      <c r="W26" s="250"/>
      <c r="X26" s="446">
        <f>'Process CL'!H228</f>
        <v>0</v>
      </c>
      <c r="Y26" s="445"/>
      <c r="Z26" s="445"/>
      <c r="AA26" s="445"/>
      <c r="AB26" s="447"/>
      <c r="AC26" s="223"/>
    </row>
    <row r="27" spans="1:32" ht="16.5">
      <c r="A27" s="217"/>
      <c r="B27" s="218">
        <f t="shared" si="0"/>
        <v>27</v>
      </c>
      <c r="C27" s="251" t="s">
        <v>478</v>
      </c>
      <c r="D27" s="246"/>
      <c r="E27" s="246"/>
      <c r="F27" s="246"/>
      <c r="G27" s="426" t="s">
        <v>479</v>
      </c>
      <c r="H27" s="432"/>
      <c r="I27" s="247"/>
      <c r="J27" s="456">
        <f>IF(G27="KG/H",'Process CL'!D230,IF(G27="LITER/DAY",'Process CL'!D231,'Process CL'!D232))</f>
        <v>0</v>
      </c>
      <c r="K27" s="456"/>
      <c r="L27" s="456"/>
      <c r="M27" s="456"/>
      <c r="N27" s="456"/>
      <c r="O27" s="248"/>
      <c r="P27" s="249"/>
      <c r="Q27" s="456">
        <f>IF(G27="KG/H",'Process CL'!F230,IF(G27="LITER/DAY",'Process CL'!F231,'Process CL'!F232))</f>
        <v>0</v>
      </c>
      <c r="R27" s="456"/>
      <c r="S27" s="456"/>
      <c r="T27" s="456"/>
      <c r="U27" s="456"/>
      <c r="V27" s="456"/>
      <c r="W27" s="250"/>
      <c r="X27" s="457" t="e">
        <f>IF(G27="KG/H",'Process CL'!H230,IF(G27="LITER/DAY",'Process CL'!H231,'Process CL'!H232))</f>
        <v>#DIV/0!</v>
      </c>
      <c r="Y27" s="456"/>
      <c r="Z27" s="456"/>
      <c r="AA27" s="456"/>
      <c r="AB27" s="458"/>
      <c r="AC27" s="223"/>
    </row>
    <row r="28" spans="1:32" ht="16.5">
      <c r="A28" s="217"/>
      <c r="B28" s="218">
        <f t="shared" si="0"/>
        <v>28</v>
      </c>
      <c r="C28" s="221" t="s">
        <v>480</v>
      </c>
      <c r="D28" s="246"/>
      <c r="E28" s="246"/>
      <c r="F28" s="246"/>
      <c r="G28" s="246"/>
      <c r="H28" s="246"/>
      <c r="I28" s="247"/>
      <c r="J28" s="449">
        <f>IF(O6='Process DB'!C89,'Process CL'!AO25,'Process CL'!AP25)</f>
        <v>0</v>
      </c>
      <c r="K28" s="449"/>
      <c r="L28" s="449"/>
      <c r="M28" s="241" t="str">
        <f>O6</f>
        <v>VOL %</v>
      </c>
      <c r="N28" s="241"/>
      <c r="O28" s="248"/>
      <c r="P28" s="249"/>
      <c r="Q28" s="449">
        <f>IF(W6='Process DB'!C89,'Process CL'!AQ25,'Process CL'!AR25)</f>
        <v>0</v>
      </c>
      <c r="R28" s="449"/>
      <c r="S28" s="449"/>
      <c r="T28" s="241" t="str">
        <f>W6</f>
        <v>VOL %</v>
      </c>
      <c r="U28" s="222"/>
      <c r="V28" s="222"/>
      <c r="W28" s="252"/>
      <c r="X28" s="448" t="e">
        <f>IF(AA6='Process DB'!C89,'Process CL'!AS25,'Process CL'!AT25)</f>
        <v>#DIV/0!</v>
      </c>
      <c r="Y28" s="449"/>
      <c r="Z28" s="449"/>
      <c r="AA28" s="241" t="str">
        <f>AA6</f>
        <v>VOL %</v>
      </c>
      <c r="AB28" s="253"/>
      <c r="AC28" s="223"/>
    </row>
    <row r="29" spans="1:32" ht="16.5">
      <c r="A29" s="217"/>
      <c r="B29" s="218">
        <f t="shared" si="0"/>
        <v>29</v>
      </c>
      <c r="C29" s="221" t="s">
        <v>481</v>
      </c>
      <c r="D29" s="222"/>
      <c r="E29" s="222"/>
      <c r="F29" s="222"/>
      <c r="G29" s="222"/>
      <c r="H29" s="222"/>
      <c r="I29" s="254"/>
      <c r="J29" s="450">
        <f>IF(O6='Process DB'!C89,'Process CL'!AU25,'Process CL'!AV25)</f>
        <v>0</v>
      </c>
      <c r="K29" s="450"/>
      <c r="L29" s="450"/>
      <c r="M29" s="255" t="str">
        <f>O6</f>
        <v>VOL %</v>
      </c>
      <c r="N29" s="255"/>
      <c r="O29" s="256"/>
      <c r="P29" s="257"/>
      <c r="Q29" s="450">
        <f>IF(W6='Process DB'!C89,'Process CL'!AW25,'Process CL'!AX25)</f>
        <v>0</v>
      </c>
      <c r="R29" s="450"/>
      <c r="S29" s="450"/>
      <c r="T29" s="258" t="str">
        <f>W6</f>
        <v>VOL %</v>
      </c>
      <c r="U29" s="259"/>
      <c r="V29" s="259"/>
      <c r="W29" s="260"/>
      <c r="X29" s="451" t="e">
        <f>IF(AA6='Process DB'!C89,'Process CL'!AY25,'Process CL'!AZ25)</f>
        <v>#DIV/0!</v>
      </c>
      <c r="Y29" s="450"/>
      <c r="Z29" s="450"/>
      <c r="AA29" s="255" t="str">
        <f>AA6</f>
        <v>VOL %</v>
      </c>
      <c r="AB29" s="261"/>
      <c r="AC29" s="223"/>
    </row>
    <row r="30" spans="1:32" ht="16.5">
      <c r="A30" s="217"/>
      <c r="B30" s="218">
        <f t="shared" si="0"/>
        <v>30</v>
      </c>
      <c r="C30" s="221" t="s">
        <v>482</v>
      </c>
      <c r="D30" s="222"/>
      <c r="E30" s="222"/>
      <c r="F30" s="222"/>
      <c r="G30" s="222"/>
      <c r="H30" s="222"/>
      <c r="I30" s="452" t="str">
        <f>'Process CL'!FV50</f>
        <v>NO</v>
      </c>
      <c r="J30" s="453"/>
      <c r="K30" s="453"/>
      <c r="L30" s="453"/>
      <c r="M30" s="453"/>
      <c r="N30" s="453"/>
      <c r="O30" s="453"/>
      <c r="P30" s="452" t="str">
        <f>'Process CL'!FW50</f>
        <v>NO</v>
      </c>
      <c r="Q30" s="453"/>
      <c r="R30" s="453"/>
      <c r="S30" s="453"/>
      <c r="T30" s="453"/>
      <c r="U30" s="453"/>
      <c r="V30" s="453"/>
      <c r="W30" s="454"/>
      <c r="X30" s="452" t="str">
        <f>'Process CL'!FX50</f>
        <v>NO</v>
      </c>
      <c r="Y30" s="453"/>
      <c r="Z30" s="453"/>
      <c r="AA30" s="453"/>
      <c r="AB30" s="455"/>
      <c r="AC30" s="223"/>
      <c r="AE30" s="262" t="s">
        <v>483</v>
      </c>
      <c r="AF30" s="216" t="s">
        <v>484</v>
      </c>
    </row>
    <row r="31" spans="1:32" ht="16.5">
      <c r="A31" s="217"/>
      <c r="B31" s="218">
        <f t="shared" si="0"/>
        <v>31</v>
      </c>
      <c r="C31" s="221" t="s">
        <v>485</v>
      </c>
      <c r="D31" s="222"/>
      <c r="E31" s="222"/>
      <c r="F31" s="222"/>
      <c r="G31" s="222"/>
      <c r="H31" s="222"/>
      <c r="I31" s="452" t="str">
        <f>'Process CL'!FY50</f>
        <v>NO</v>
      </c>
      <c r="J31" s="453"/>
      <c r="K31" s="453"/>
      <c r="L31" s="453"/>
      <c r="M31" s="453"/>
      <c r="N31" s="453"/>
      <c r="O31" s="453"/>
      <c r="P31" s="452" t="str">
        <f>'Process CL'!FZ50</f>
        <v>NO</v>
      </c>
      <c r="Q31" s="453"/>
      <c r="R31" s="453"/>
      <c r="S31" s="453"/>
      <c r="T31" s="453"/>
      <c r="U31" s="453"/>
      <c r="V31" s="453"/>
      <c r="W31" s="454"/>
      <c r="X31" s="452" t="e">
        <f>'Process CL'!GA50</f>
        <v>#DIV/0!</v>
      </c>
      <c r="Y31" s="453"/>
      <c r="Z31" s="453"/>
      <c r="AA31" s="453"/>
      <c r="AB31" s="455"/>
      <c r="AC31" s="223"/>
      <c r="AE31" s="262" t="s">
        <v>486</v>
      </c>
      <c r="AF31" s="216" t="s">
        <v>487</v>
      </c>
    </row>
    <row r="32" spans="1:32" ht="16.5">
      <c r="A32" s="217"/>
      <c r="B32" s="218">
        <f t="shared" si="0"/>
        <v>32</v>
      </c>
      <c r="C32" s="221" t="s">
        <v>488</v>
      </c>
      <c r="D32" s="222"/>
      <c r="E32" s="222"/>
      <c r="F32" s="222"/>
      <c r="G32" s="222"/>
      <c r="H32" s="222"/>
      <c r="I32" s="452" t="str">
        <f>'Process CL'!GB50</f>
        <v>NO</v>
      </c>
      <c r="J32" s="453"/>
      <c r="K32" s="453"/>
      <c r="L32" s="453"/>
      <c r="M32" s="453"/>
      <c r="N32" s="453"/>
      <c r="O32" s="453"/>
      <c r="P32" s="452" t="str">
        <f>'Process CL'!GC50</f>
        <v>NO</v>
      </c>
      <c r="Q32" s="453"/>
      <c r="R32" s="453"/>
      <c r="S32" s="453"/>
      <c r="T32" s="453"/>
      <c r="U32" s="453"/>
      <c r="V32" s="453"/>
      <c r="W32" s="454"/>
      <c r="X32" s="452" t="e">
        <f>'Process CL'!GD50</f>
        <v>#DIV/0!</v>
      </c>
      <c r="Y32" s="453"/>
      <c r="Z32" s="453"/>
      <c r="AA32" s="453"/>
      <c r="AB32" s="455"/>
      <c r="AC32" s="223"/>
      <c r="AE32" s="262" t="s">
        <v>483</v>
      </c>
      <c r="AF32" s="216" t="s">
        <v>489</v>
      </c>
    </row>
    <row r="33" spans="1:32" ht="16.5">
      <c r="A33" s="217"/>
      <c r="B33" s="218">
        <f t="shared" si="0"/>
        <v>33</v>
      </c>
      <c r="C33" s="221" t="s">
        <v>490</v>
      </c>
      <c r="D33" s="222"/>
      <c r="E33" s="222"/>
      <c r="F33" s="222"/>
      <c r="G33" s="426" t="s">
        <v>491</v>
      </c>
      <c r="H33" s="432"/>
      <c r="I33" s="263"/>
      <c r="J33" s="459">
        <f>'Process CL'!AF25</f>
        <v>4.0026248119000005</v>
      </c>
      <c r="K33" s="459"/>
      <c r="L33" s="459"/>
      <c r="M33" s="459"/>
      <c r="N33" s="459"/>
      <c r="O33" s="243"/>
      <c r="P33" s="264"/>
      <c r="Q33" s="459">
        <f>'Process CL'!AG25</f>
        <v>44.002377858394127</v>
      </c>
      <c r="R33" s="459"/>
      <c r="S33" s="459"/>
      <c r="T33" s="459"/>
      <c r="U33" s="459"/>
      <c r="V33" s="459"/>
      <c r="W33" s="252"/>
      <c r="X33" s="460" t="e">
        <f>'Process CL'!AH25</f>
        <v>#DIV/0!</v>
      </c>
      <c r="Y33" s="459"/>
      <c r="Z33" s="459"/>
      <c r="AA33" s="459"/>
      <c r="AB33" s="461"/>
      <c r="AC33" s="223"/>
    </row>
    <row r="34" spans="1:32" ht="16.5">
      <c r="A34" s="217"/>
      <c r="B34" s="218">
        <f t="shared" si="0"/>
        <v>34</v>
      </c>
      <c r="C34" s="221" t="s">
        <v>492</v>
      </c>
      <c r="D34" s="222"/>
      <c r="E34" s="222"/>
      <c r="F34" s="222"/>
      <c r="G34" s="222" t="s">
        <v>7</v>
      </c>
      <c r="H34" s="222"/>
      <c r="I34" s="263"/>
      <c r="J34" s="459">
        <f>'Process CL'!AF26</f>
        <v>0.13821218273135361</v>
      </c>
      <c r="K34" s="459"/>
      <c r="L34" s="459"/>
      <c r="M34" s="459"/>
      <c r="N34" s="459"/>
      <c r="O34" s="243"/>
      <c r="P34" s="264"/>
      <c r="Q34" s="459">
        <f>'Process CL'!AG26</f>
        <v>1.5194191249445486</v>
      </c>
      <c r="R34" s="459"/>
      <c r="S34" s="459"/>
      <c r="T34" s="459"/>
      <c r="U34" s="459"/>
      <c r="V34" s="459"/>
      <c r="W34" s="252"/>
      <c r="X34" s="460" t="e">
        <f>'Process CL'!AH26</f>
        <v>#DIV/0!</v>
      </c>
      <c r="Y34" s="459"/>
      <c r="Z34" s="459"/>
      <c r="AA34" s="459"/>
      <c r="AB34" s="461"/>
      <c r="AC34" s="223"/>
    </row>
    <row r="35" spans="1:32" ht="16.5">
      <c r="A35" s="217"/>
      <c r="B35" s="218">
        <f t="shared" si="0"/>
        <v>35</v>
      </c>
      <c r="C35" s="221" t="s">
        <v>493</v>
      </c>
      <c r="D35" s="222"/>
      <c r="E35" s="222"/>
      <c r="F35" s="222"/>
      <c r="G35" s="426" t="s">
        <v>494</v>
      </c>
      <c r="H35" s="432"/>
      <c r="I35" s="263"/>
      <c r="J35" s="462">
        <f>IF(G35="BTU/SCF",'Process CL'!AI29,IF(G35="KCAL/NM3",'Process CL'!AI31,'Process CL'!AI30))</f>
        <v>1.3461068944130219E-3</v>
      </c>
      <c r="K35" s="462"/>
      <c r="L35" s="462"/>
      <c r="M35" s="462"/>
      <c r="N35" s="462"/>
      <c r="O35" s="243"/>
      <c r="P35" s="264"/>
      <c r="Q35" s="462">
        <f>IF(G35="BTU/SCF",'Process CL'!AJ29,IF(G35="KCAL/NM3",'Process CL'!AJ31,'Process CL'!AJ30))</f>
        <v>0.15530930795741882</v>
      </c>
      <c r="R35" s="462"/>
      <c r="S35" s="462"/>
      <c r="T35" s="462"/>
      <c r="U35" s="462"/>
      <c r="V35" s="462"/>
      <c r="W35" s="252"/>
      <c r="X35" s="463" t="e">
        <f>IF(G35="BTU/SCF",'Process CL'!AK29,IF(G35="KCAL/NM3",'Process CL'!AK31,'Process CL'!AK30))</f>
        <v>#DIV/0!</v>
      </c>
      <c r="Y35" s="462"/>
      <c r="Z35" s="462"/>
      <c r="AA35" s="462"/>
      <c r="AB35" s="464"/>
      <c r="AC35" s="223"/>
    </row>
    <row r="36" spans="1:32" ht="16.5">
      <c r="A36" s="217"/>
      <c r="B36" s="218">
        <f t="shared" si="0"/>
        <v>36</v>
      </c>
      <c r="C36" s="221" t="s">
        <v>495</v>
      </c>
      <c r="D36" s="222"/>
      <c r="E36" s="222"/>
      <c r="F36" s="222"/>
      <c r="G36" s="265" t="str">
        <f>G35</f>
        <v>KCAL/NM3</v>
      </c>
      <c r="H36" s="266"/>
      <c r="I36" s="263"/>
      <c r="J36" s="462">
        <f>IF(G35="BTU/SCF",'Process CL'!AL35,IF(G35="KCAL/NM3",'Process CL'!AL37,'Process CL'!AL36))</f>
        <v>1.1568505824652508E-3</v>
      </c>
      <c r="K36" s="462"/>
      <c r="L36" s="462"/>
      <c r="M36" s="462"/>
      <c r="N36" s="462"/>
      <c r="O36" s="243"/>
      <c r="P36" s="264"/>
      <c r="Q36" s="462">
        <f>IF(G35="BTU/SCF",'Process CL'!AM35,IF(G35="KCAL/NM3",'Process CL'!AM37,'Process CL'!AM36))</f>
        <v>0.15412010238040422</v>
      </c>
      <c r="R36" s="462"/>
      <c r="S36" s="462"/>
      <c r="T36" s="462"/>
      <c r="U36" s="462"/>
      <c r="V36" s="462"/>
      <c r="W36" s="252"/>
      <c r="X36" s="463" t="e">
        <f>IF(G35="BTU/SCF",'Process CL'!AN35,IF(G35="KCAL/NM3",'Process CL'!AN37,'Process CL'!AN36))</f>
        <v>#DIV/0!</v>
      </c>
      <c r="Y36" s="462"/>
      <c r="Z36" s="462"/>
      <c r="AA36" s="462"/>
      <c r="AB36" s="464"/>
      <c r="AC36" s="223"/>
    </row>
    <row r="37" spans="1:32" ht="16.5">
      <c r="A37" s="217"/>
      <c r="B37" s="218">
        <f t="shared" si="0"/>
        <v>37</v>
      </c>
      <c r="C37" s="221" t="s">
        <v>496</v>
      </c>
      <c r="D37" s="222"/>
      <c r="E37" s="222"/>
      <c r="F37" s="222"/>
      <c r="G37" s="265" t="str">
        <f>G35</f>
        <v>KCAL/NM3</v>
      </c>
      <c r="H37" s="266"/>
      <c r="I37" s="263"/>
      <c r="J37" s="462">
        <f>IF(G35="BTU/SCF",'Process CL'!AI32,IF(G35="KCAL/NM3",'Process CL'!AI34,'Process CL'!AI33))</f>
        <v>3.620815416824658E-3</v>
      </c>
      <c r="K37" s="462"/>
      <c r="L37" s="462"/>
      <c r="M37" s="462"/>
      <c r="N37" s="462"/>
      <c r="O37" s="243"/>
      <c r="P37" s="264"/>
      <c r="Q37" s="462">
        <f>IF(G35="BTU/SCF",'Process CL'!AJ32,IF(G35="KCAL/NM3",'Process CL'!AJ34,'Process CL'!AJ33))</f>
        <v>0.12599656064422665</v>
      </c>
      <c r="R37" s="462"/>
      <c r="S37" s="462"/>
      <c r="T37" s="462"/>
      <c r="U37" s="462"/>
      <c r="V37" s="462"/>
      <c r="W37" s="252"/>
      <c r="X37" s="463" t="e">
        <f>IF(G35="BTU/SCF",'Process CL'!AK32,IF(G35="KCAL/NM3",'Process CL'!AK34,'Process CL'!AK33))</f>
        <v>#DIV/0!</v>
      </c>
      <c r="Y37" s="462"/>
      <c r="Z37" s="462"/>
      <c r="AA37" s="462"/>
      <c r="AB37" s="464"/>
      <c r="AC37" s="223"/>
    </row>
    <row r="38" spans="1:32" ht="16.5">
      <c r="A38" s="217"/>
      <c r="B38" s="218">
        <f t="shared" si="0"/>
        <v>38</v>
      </c>
      <c r="C38" s="221" t="s">
        <v>497</v>
      </c>
      <c r="D38" s="222"/>
      <c r="E38" s="222"/>
      <c r="F38" s="222"/>
      <c r="G38" s="265" t="str">
        <f>G35</f>
        <v>KCAL/NM3</v>
      </c>
      <c r="H38" s="266"/>
      <c r="I38" s="263"/>
      <c r="J38" s="462">
        <f>IF(G35="BTU/SCF",'Process CL'!AL38,IF(G35="KCAL/NM3",'Process CL'!AL40,'Process CL'!AL39))</f>
        <v>3.1117457620475917E-3</v>
      </c>
      <c r="K38" s="462"/>
      <c r="L38" s="462"/>
      <c r="M38" s="462"/>
      <c r="N38" s="462"/>
      <c r="O38" s="243"/>
      <c r="P38" s="264"/>
      <c r="Q38" s="462">
        <f>IF(G35="BTU/SCF",'Process CL'!AM38,IF(G35="KCAL/NM3",'Process CL'!AM40,'Process CL'!AM39))</f>
        <v>0.125031803189742</v>
      </c>
      <c r="R38" s="462"/>
      <c r="S38" s="462"/>
      <c r="T38" s="462"/>
      <c r="U38" s="462"/>
      <c r="V38" s="462"/>
      <c r="W38" s="252"/>
      <c r="X38" s="463" t="e">
        <f>IF(G35="BTU/SCF",'Process CL'!AN38,IF(G35="KCAL/NM3",'Process CL'!AN40,'Process CL'!AN39))</f>
        <v>#DIV/0!</v>
      </c>
      <c r="Y38" s="462"/>
      <c r="Z38" s="462"/>
      <c r="AA38" s="462"/>
      <c r="AB38" s="464"/>
      <c r="AC38" s="223"/>
    </row>
    <row r="39" spans="1:32" ht="16.5">
      <c r="A39" s="217"/>
      <c r="B39" s="218">
        <f t="shared" si="0"/>
        <v>39</v>
      </c>
      <c r="C39" s="221" t="s">
        <v>498</v>
      </c>
      <c r="D39" s="222"/>
      <c r="E39" s="222"/>
      <c r="F39" s="222"/>
      <c r="G39" s="426" t="s">
        <v>499</v>
      </c>
      <c r="H39" s="432"/>
      <c r="I39" s="263"/>
      <c r="J39" s="459">
        <f>IF(G39="KG/M3",'Process CL'!AF27,'Process CL'!AF28)</f>
        <v>0.50415560063677534</v>
      </c>
      <c r="K39" s="459"/>
      <c r="L39" s="459"/>
      <c r="M39" s="459"/>
      <c r="N39" s="459"/>
      <c r="O39" s="243"/>
      <c r="P39" s="264"/>
      <c r="Q39" s="459">
        <f>IF(G39="KG/M3",'Process CL'!AG27,'Process CL'!AG28)</f>
        <v>5.9106236366504774</v>
      </c>
      <c r="R39" s="459"/>
      <c r="S39" s="459"/>
      <c r="T39" s="459"/>
      <c r="U39" s="459"/>
      <c r="V39" s="459"/>
      <c r="W39" s="252"/>
      <c r="X39" s="460" t="e">
        <f>IF(G39="KG/M3",'Process CL'!AH27,'Process CL'!AH28)</f>
        <v>#DIV/0!</v>
      </c>
      <c r="Y39" s="459"/>
      <c r="Z39" s="459"/>
      <c r="AA39" s="459"/>
      <c r="AB39" s="461"/>
      <c r="AC39" s="223"/>
    </row>
    <row r="40" spans="1:32" ht="16.5">
      <c r="A40" s="217"/>
      <c r="B40" s="218">
        <f t="shared" si="0"/>
        <v>40</v>
      </c>
      <c r="C40" s="221" t="s">
        <v>500</v>
      </c>
      <c r="D40" s="222"/>
      <c r="E40" s="222"/>
      <c r="F40" s="222"/>
      <c r="G40" s="426" t="s">
        <v>501</v>
      </c>
      <c r="H40" s="432"/>
      <c r="I40" s="263"/>
      <c r="J40" s="465">
        <f>IF(G40="CENTIPOISE",'Process CL'!DU47,'Process CL'!DV47)</f>
        <v>1.6818045225125217E-2</v>
      </c>
      <c r="K40" s="465"/>
      <c r="L40" s="465"/>
      <c r="M40" s="465"/>
      <c r="N40" s="465"/>
      <c r="O40" s="243"/>
      <c r="P40" s="264"/>
      <c r="Q40" s="465">
        <f>IF(G40="CENTIPOISE",'Process CL'!EM47,'Process CL'!EN47)</f>
        <v>1.3649987761186378E-2</v>
      </c>
      <c r="R40" s="465"/>
      <c r="S40" s="465"/>
      <c r="T40" s="465"/>
      <c r="U40" s="465"/>
      <c r="V40" s="465"/>
      <c r="W40" s="252"/>
      <c r="X40" s="466" t="e">
        <f>IF(G40="CENTIPOISE",'Process CL'!FE47,'Process CL'!FF47)</f>
        <v>#DIV/0!</v>
      </c>
      <c r="Y40" s="465"/>
      <c r="Z40" s="465"/>
      <c r="AA40" s="465"/>
      <c r="AB40" s="467"/>
      <c r="AC40" s="223"/>
    </row>
    <row r="41" spans="1:32" ht="16.5">
      <c r="A41" s="217"/>
      <c r="B41" s="218">
        <f t="shared" si="0"/>
        <v>41</v>
      </c>
      <c r="C41" s="221" t="s">
        <v>502</v>
      </c>
      <c r="D41" s="222"/>
      <c r="E41" s="222"/>
      <c r="F41" s="222"/>
      <c r="G41" s="426" t="s">
        <v>503</v>
      </c>
      <c r="H41" s="432"/>
      <c r="I41" s="263"/>
      <c r="J41" s="465">
        <f>IF(G41="M2/S",'Process CL'!DV48,'Process CL'!DW48)</f>
        <v>3.3358838429808438E-5</v>
      </c>
      <c r="K41" s="465"/>
      <c r="L41" s="465"/>
      <c r="M41" s="465"/>
      <c r="N41" s="465"/>
      <c r="O41" s="243"/>
      <c r="P41" s="264"/>
      <c r="Q41" s="465">
        <f>IF(G41="M2/S",'Process CL'!EN48,'Process CL'!EO48)</f>
        <v>2.3093989061570098E-6</v>
      </c>
      <c r="R41" s="465"/>
      <c r="S41" s="465"/>
      <c r="T41" s="465"/>
      <c r="U41" s="465"/>
      <c r="V41" s="465"/>
      <c r="W41" s="252"/>
      <c r="X41" s="466" t="e">
        <f>IF(G41="M2/S",'Process CL'!FF48,'Process CL'!FG48)</f>
        <v>#DIV/0!</v>
      </c>
      <c r="Y41" s="465"/>
      <c r="Z41" s="465"/>
      <c r="AA41" s="465"/>
      <c r="AB41" s="467"/>
      <c r="AC41" s="223"/>
    </row>
    <row r="42" spans="1:32" ht="16.5">
      <c r="A42" s="217"/>
      <c r="B42" s="218">
        <f t="shared" si="0"/>
        <v>42</v>
      </c>
      <c r="C42" s="221" t="s">
        <v>504</v>
      </c>
      <c r="D42" s="222"/>
      <c r="E42" s="222"/>
      <c r="F42" s="222"/>
      <c r="G42" s="426" t="s">
        <v>505</v>
      </c>
      <c r="H42" s="432"/>
      <c r="I42" s="263"/>
      <c r="J42" s="465">
        <f>IF(G42="W/M.K",'Process CL'!BG45,'Process CL'!BH45)</f>
        <v>0.14569976039875759</v>
      </c>
      <c r="K42" s="465"/>
      <c r="L42" s="465"/>
      <c r="M42" s="465"/>
      <c r="N42" s="465"/>
      <c r="O42" s="243"/>
      <c r="P42" s="264"/>
      <c r="Q42" s="465">
        <f>IF(G42="W/M.K",'Process CL'!BY45,'Process CL'!BZ45)</f>
        <v>1.5099519314547141E-2</v>
      </c>
      <c r="R42" s="465"/>
      <c r="S42" s="465"/>
      <c r="T42" s="465"/>
      <c r="U42" s="465"/>
      <c r="V42" s="465"/>
      <c r="W42" s="252"/>
      <c r="X42" s="466" t="e">
        <f>IF(G42="W/M.K",'Process CL'!CQ45,'Process CL'!CR45)</f>
        <v>#DIV/0!</v>
      </c>
      <c r="Y42" s="465"/>
      <c r="Z42" s="465"/>
      <c r="AA42" s="465"/>
      <c r="AB42" s="467"/>
      <c r="AC42" s="223"/>
    </row>
    <row r="43" spans="1:32" ht="16.5">
      <c r="A43" s="217"/>
      <c r="B43" s="218">
        <f t="shared" si="0"/>
        <v>43</v>
      </c>
      <c r="C43" s="221" t="s">
        <v>506</v>
      </c>
      <c r="D43" s="222"/>
      <c r="E43" s="222"/>
      <c r="F43" s="222"/>
      <c r="G43" s="426" t="s">
        <v>507</v>
      </c>
      <c r="H43" s="432"/>
      <c r="I43" s="263"/>
      <c r="J43" s="473">
        <f>IF(G43="KJ / KGMOLE.K",'Process CL'!BA41,'Process CL'!BA42)</f>
        <v>20.800010683927201</v>
      </c>
      <c r="K43" s="473"/>
      <c r="L43" s="473"/>
      <c r="M43" s="473"/>
      <c r="N43" s="473"/>
      <c r="O43" s="243"/>
      <c r="P43" s="264"/>
      <c r="Q43" s="473">
        <f>IF(G43="KJ / KGMOLE.K",'Process CL'!BB41,'Process CL'!BB42)</f>
        <v>36.155809053851364</v>
      </c>
      <c r="R43" s="473"/>
      <c r="S43" s="473"/>
      <c r="T43" s="473"/>
      <c r="U43" s="473"/>
      <c r="V43" s="473"/>
      <c r="W43" s="252"/>
      <c r="X43" s="474" t="e">
        <f>IF(G43="KJ / KGMOLE.K",'Process CL'!BC41,'Process CL'!BC42)</f>
        <v>#DIV/0!</v>
      </c>
      <c r="Y43" s="473"/>
      <c r="Z43" s="473"/>
      <c r="AA43" s="473"/>
      <c r="AB43" s="475"/>
      <c r="AC43" s="223"/>
    </row>
    <row r="44" spans="1:32" ht="16.5">
      <c r="A44" s="217"/>
      <c r="B44" s="218">
        <f t="shared" si="0"/>
        <v>44</v>
      </c>
      <c r="C44" s="221" t="s">
        <v>508</v>
      </c>
      <c r="D44" s="222"/>
      <c r="E44" s="222"/>
      <c r="F44" s="222"/>
      <c r="G44" s="222" t="s">
        <v>7</v>
      </c>
      <c r="H44" s="222"/>
      <c r="I44" s="263"/>
      <c r="J44" s="459">
        <f>'Process CL'!BA43</f>
        <v>1.6659280757551351</v>
      </c>
      <c r="K44" s="459"/>
      <c r="L44" s="459"/>
      <c r="M44" s="459"/>
      <c r="N44" s="459"/>
      <c r="O44" s="243"/>
      <c r="P44" s="264"/>
      <c r="Q44" s="459">
        <f>'Process CL'!BB43</f>
        <v>1.2986376340309997</v>
      </c>
      <c r="R44" s="459"/>
      <c r="S44" s="459"/>
      <c r="T44" s="459"/>
      <c r="U44" s="459"/>
      <c r="V44" s="459"/>
      <c r="W44" s="252"/>
      <c r="X44" s="460" t="e">
        <f>'Process CL'!BC43</f>
        <v>#DIV/0!</v>
      </c>
      <c r="Y44" s="459"/>
      <c r="Z44" s="459"/>
      <c r="AA44" s="459"/>
      <c r="AB44" s="461"/>
      <c r="AC44" s="223"/>
    </row>
    <row r="45" spans="1:32" ht="17.25" thickBot="1">
      <c r="A45" s="217"/>
      <c r="B45" s="218">
        <f t="shared" si="0"/>
        <v>45</v>
      </c>
      <c r="C45" s="267" t="s">
        <v>509</v>
      </c>
      <c r="D45" s="259"/>
      <c r="E45" s="259"/>
      <c r="F45" s="259"/>
      <c r="G45" s="468" t="s">
        <v>132</v>
      </c>
      <c r="H45" s="469"/>
      <c r="I45" s="470">
        <v>1.01325</v>
      </c>
      <c r="J45" s="471"/>
      <c r="K45" s="471"/>
      <c r="L45" s="471"/>
      <c r="M45" s="471"/>
      <c r="N45" s="471"/>
      <c r="O45" s="472"/>
      <c r="P45" s="249"/>
      <c r="Q45" s="268"/>
      <c r="R45" s="268"/>
      <c r="S45" s="268"/>
      <c r="T45" s="269"/>
      <c r="U45" s="269"/>
      <c r="V45" s="270"/>
      <c r="W45" s="269"/>
      <c r="X45" s="271"/>
      <c r="Y45" s="246"/>
      <c r="Z45" s="271"/>
      <c r="AA45" s="271"/>
      <c r="AB45" s="253"/>
      <c r="AC45" s="223"/>
      <c r="AE45" s="216">
        <f>IF(G45="PSIA",(I45/14.50377),(I45))</f>
        <v>1.01325</v>
      </c>
      <c r="AF45" s="216" t="s">
        <v>510</v>
      </c>
    </row>
    <row r="46" spans="1:32" s="274" customFormat="1" ht="13.5">
      <c r="A46" s="272"/>
      <c r="B46" s="273"/>
    </row>
    <row r="47" spans="1:32" s="274" customFormat="1">
      <c r="A47" s="272"/>
      <c r="B47" s="216"/>
      <c r="AC47" s="216"/>
    </row>
  </sheetData>
  <sheetProtection password="E5FA" sheet="1" objects="1" scenarios="1"/>
  <mergeCells count="222">
    <mergeCell ref="G45:H45"/>
    <mergeCell ref="I45:O45"/>
    <mergeCell ref="G43:H43"/>
    <mergeCell ref="J43:N43"/>
    <mergeCell ref="Q43:V43"/>
    <mergeCell ref="X43:AB43"/>
    <mergeCell ref="J44:N44"/>
    <mergeCell ref="Q44:V44"/>
    <mergeCell ref="X44:AB44"/>
    <mergeCell ref="G41:H41"/>
    <mergeCell ref="J41:N41"/>
    <mergeCell ref="Q41:V41"/>
    <mergeCell ref="X41:AB41"/>
    <mergeCell ref="G42:H42"/>
    <mergeCell ref="J42:N42"/>
    <mergeCell ref="Q42:V42"/>
    <mergeCell ref="X42:AB42"/>
    <mergeCell ref="G39:H39"/>
    <mergeCell ref="J39:N39"/>
    <mergeCell ref="Q39:V39"/>
    <mergeCell ref="X39:AB39"/>
    <mergeCell ref="G40:H40"/>
    <mergeCell ref="J40:N40"/>
    <mergeCell ref="Q40:V40"/>
    <mergeCell ref="X40:AB40"/>
    <mergeCell ref="J37:N37"/>
    <mergeCell ref="Q37:V37"/>
    <mergeCell ref="X37:AB37"/>
    <mergeCell ref="J38:N38"/>
    <mergeCell ref="Q38:V38"/>
    <mergeCell ref="X38:AB38"/>
    <mergeCell ref="G35:H35"/>
    <mergeCell ref="J35:N35"/>
    <mergeCell ref="Q35:V35"/>
    <mergeCell ref="X35:AB35"/>
    <mergeCell ref="J36:N36"/>
    <mergeCell ref="Q36:V36"/>
    <mergeCell ref="X36:AB36"/>
    <mergeCell ref="G33:H33"/>
    <mergeCell ref="J33:N33"/>
    <mergeCell ref="Q33:V33"/>
    <mergeCell ref="X33:AB33"/>
    <mergeCell ref="J34:N34"/>
    <mergeCell ref="Q34:V34"/>
    <mergeCell ref="X34:AB34"/>
    <mergeCell ref="I31:O31"/>
    <mergeCell ref="P31:W31"/>
    <mergeCell ref="X31:AB31"/>
    <mergeCell ref="I32:O32"/>
    <mergeCell ref="P32:W32"/>
    <mergeCell ref="X32:AB32"/>
    <mergeCell ref="J29:L29"/>
    <mergeCell ref="Q29:S29"/>
    <mergeCell ref="X29:Z29"/>
    <mergeCell ref="I30:O30"/>
    <mergeCell ref="P30:W30"/>
    <mergeCell ref="X30:AB30"/>
    <mergeCell ref="G27:H27"/>
    <mergeCell ref="J27:N27"/>
    <mergeCell ref="Q27:V27"/>
    <mergeCell ref="X27:AB27"/>
    <mergeCell ref="J28:L28"/>
    <mergeCell ref="Q28:S28"/>
    <mergeCell ref="X28:Z28"/>
    <mergeCell ref="G25:H25"/>
    <mergeCell ref="I25:O25"/>
    <mergeCell ref="G26:H26"/>
    <mergeCell ref="J26:N26"/>
    <mergeCell ref="Q26:V26"/>
    <mergeCell ref="X26:AB26"/>
    <mergeCell ref="Y23:Z23"/>
    <mergeCell ref="I24:J24"/>
    <mergeCell ref="M24:N24"/>
    <mergeCell ref="P24:Q24"/>
    <mergeCell ref="U24:V24"/>
    <mergeCell ref="Y24:Z24"/>
    <mergeCell ref="D23:H23"/>
    <mergeCell ref="I23:J23"/>
    <mergeCell ref="M23:N23"/>
    <mergeCell ref="P23:Q23"/>
    <mergeCell ref="S23:T23"/>
    <mergeCell ref="U23:V23"/>
    <mergeCell ref="Y21:Z21"/>
    <mergeCell ref="D22:H22"/>
    <mergeCell ref="I22:J22"/>
    <mergeCell ref="M22:N22"/>
    <mergeCell ref="P22:Q22"/>
    <mergeCell ref="S22:T22"/>
    <mergeCell ref="U22:V22"/>
    <mergeCell ref="Y22:Z22"/>
    <mergeCell ref="D21:H21"/>
    <mergeCell ref="I21:J21"/>
    <mergeCell ref="M21:N21"/>
    <mergeCell ref="P21:Q21"/>
    <mergeCell ref="S21:T21"/>
    <mergeCell ref="U21:V21"/>
    <mergeCell ref="Y19:Z19"/>
    <mergeCell ref="D20:H20"/>
    <mergeCell ref="I20:J20"/>
    <mergeCell ref="M20:N20"/>
    <mergeCell ref="P20:Q20"/>
    <mergeCell ref="S20:T20"/>
    <mergeCell ref="U20:V20"/>
    <mergeCell ref="Y20:Z20"/>
    <mergeCell ref="D19:H19"/>
    <mergeCell ref="I19:J19"/>
    <mergeCell ref="M19:N19"/>
    <mergeCell ref="P19:Q19"/>
    <mergeCell ref="S19:T19"/>
    <mergeCell ref="U19:V19"/>
    <mergeCell ref="Y17:Z17"/>
    <mergeCell ref="D18:H18"/>
    <mergeCell ref="I18:J18"/>
    <mergeCell ref="M18:N18"/>
    <mergeCell ref="P18:Q18"/>
    <mergeCell ref="S18:T18"/>
    <mergeCell ref="U18:V18"/>
    <mergeCell ref="Y18:Z18"/>
    <mergeCell ref="D17:H17"/>
    <mergeCell ref="I17:J17"/>
    <mergeCell ref="M17:N17"/>
    <mergeCell ref="P17:Q17"/>
    <mergeCell ref="S17:T17"/>
    <mergeCell ref="U17:V17"/>
    <mergeCell ref="Y15:Z15"/>
    <mergeCell ref="D16:H16"/>
    <mergeCell ref="I16:J16"/>
    <mergeCell ref="M16:N16"/>
    <mergeCell ref="P16:Q16"/>
    <mergeCell ref="S16:T16"/>
    <mergeCell ref="U16:V16"/>
    <mergeCell ref="Y16:Z16"/>
    <mergeCell ref="D15:H15"/>
    <mergeCell ref="I15:J15"/>
    <mergeCell ref="M15:N15"/>
    <mergeCell ref="P15:Q15"/>
    <mergeCell ref="S15:T15"/>
    <mergeCell ref="U15:V15"/>
    <mergeCell ref="Y13:Z13"/>
    <mergeCell ref="D14:H14"/>
    <mergeCell ref="I14:J14"/>
    <mergeCell ref="M14:N14"/>
    <mergeCell ref="P14:Q14"/>
    <mergeCell ref="S14:T14"/>
    <mergeCell ref="U14:V14"/>
    <mergeCell ref="Y14:Z14"/>
    <mergeCell ref="D13:H13"/>
    <mergeCell ref="I13:J13"/>
    <mergeCell ref="M13:N13"/>
    <mergeCell ref="P13:Q13"/>
    <mergeCell ref="S13:T13"/>
    <mergeCell ref="U13:V13"/>
    <mergeCell ref="Y11:Z11"/>
    <mergeCell ref="D12:H12"/>
    <mergeCell ref="I12:J12"/>
    <mergeCell ref="M12:N12"/>
    <mergeCell ref="P12:Q12"/>
    <mergeCell ref="S12:T12"/>
    <mergeCell ref="U12:V12"/>
    <mergeCell ref="Y12:Z12"/>
    <mergeCell ref="D11:H11"/>
    <mergeCell ref="I11:J11"/>
    <mergeCell ref="M11:N11"/>
    <mergeCell ref="P11:Q11"/>
    <mergeCell ref="S11:T11"/>
    <mergeCell ref="U11:V11"/>
    <mergeCell ref="Y9:Z9"/>
    <mergeCell ref="D10:H10"/>
    <mergeCell ref="I10:J10"/>
    <mergeCell ref="M10:N10"/>
    <mergeCell ref="P10:Q10"/>
    <mergeCell ref="S10:T10"/>
    <mergeCell ref="U10:V10"/>
    <mergeCell ref="Y10:Z10"/>
    <mergeCell ref="D9:H9"/>
    <mergeCell ref="I9:J9"/>
    <mergeCell ref="M9:N9"/>
    <mergeCell ref="P9:Q9"/>
    <mergeCell ref="S9:T9"/>
    <mergeCell ref="U9:V9"/>
    <mergeCell ref="D8:H8"/>
    <mergeCell ref="I8:J8"/>
    <mergeCell ref="M8:N8"/>
    <mergeCell ref="P8:Q8"/>
    <mergeCell ref="S8:T8"/>
    <mergeCell ref="U8:V8"/>
    <mergeCell ref="Y8:Z8"/>
    <mergeCell ref="U6:V6"/>
    <mergeCell ref="Y6:Z6"/>
    <mergeCell ref="AA6:AB6"/>
    <mergeCell ref="D7:H7"/>
    <mergeCell ref="I7:J7"/>
    <mergeCell ref="K7:L7"/>
    <mergeCell ref="M7:N7"/>
    <mergeCell ref="P7:Q7"/>
    <mergeCell ref="S7:T7"/>
    <mergeCell ref="U7:V7"/>
    <mergeCell ref="I5:L5"/>
    <mergeCell ref="M5:O5"/>
    <mergeCell ref="P5:T5"/>
    <mergeCell ref="U5:W5"/>
    <mergeCell ref="D6:H6"/>
    <mergeCell ref="I6:J6"/>
    <mergeCell ref="K6:L6"/>
    <mergeCell ref="M6:N6"/>
    <mergeCell ref="P6:Q6"/>
    <mergeCell ref="R6:T6"/>
    <mergeCell ref="Y7:Z7"/>
    <mergeCell ref="G3:H3"/>
    <mergeCell ref="I3:O3"/>
    <mergeCell ref="P3:W3"/>
    <mergeCell ref="X3:AB3"/>
    <mergeCell ref="G4:H4"/>
    <mergeCell ref="I4:O4"/>
    <mergeCell ref="P4:W4"/>
    <mergeCell ref="X4:AB4"/>
    <mergeCell ref="C1:AB1"/>
    <mergeCell ref="C2:F2"/>
    <mergeCell ref="G2:H2"/>
    <mergeCell ref="I2:O2"/>
    <mergeCell ref="P2:W2"/>
    <mergeCell ref="X2:AB2"/>
  </mergeCells>
  <conditionalFormatting sqref="J24 I6:I24">
    <cfRule type="cellIs" dxfId="0" priority="1" operator="equal">
      <formula>0</formula>
    </cfRule>
  </conditionalFormatting>
  <dataValidations count="18">
    <dataValidation type="list" allowBlank="1" showInputMessage="1" showErrorMessage="1" sqref="G25">
      <formula1>FeedFlow_Select</formula1>
    </dataValidation>
    <dataValidation type="list" allowBlank="1" showInputMessage="1" showErrorMessage="1" sqref="G27:H27">
      <formula1>"KG/H, LITER/DAY, GALLON/DAY"</formula1>
    </dataValidation>
    <dataValidation type="list" allowBlank="1" showInputMessage="1" showErrorMessage="1" sqref="G43:H43">
      <formula1>"KJ / KGMOLE.K, BTU / LBMOL.°F"</formula1>
    </dataValidation>
    <dataValidation type="list" allowBlank="1" showInputMessage="1" showErrorMessage="1" sqref="G41:H41">
      <formula1>"M2/S, FT2/H"</formula1>
    </dataValidation>
    <dataValidation type="list" allowBlank="1" showInputMessage="1" showErrorMessage="1" sqref="G42:H42">
      <formula1>"W/M.K, BTU.FT/H.FT2.°F"</formula1>
    </dataValidation>
    <dataValidation type="list" allowBlank="1" showInputMessage="1" showErrorMessage="1" sqref="G35:H35">
      <formula1>"MJ/NM3, KCAL/NM3, BTU/SCF"</formula1>
    </dataValidation>
    <dataValidation type="list" allowBlank="1" showInputMessage="1" showErrorMessage="1" sqref="G33:H33">
      <formula1>"KG/KGMOLE, LB/LBMOLE"</formula1>
    </dataValidation>
    <dataValidation type="list" allowBlank="1" showInputMessage="1" showErrorMessage="1" sqref="G40:H40">
      <formula1>"PASCAL.SEC, CENTIPOISE"</formula1>
    </dataValidation>
    <dataValidation type="list" allowBlank="1" showInputMessage="1" showErrorMessage="1" sqref="S7:S23">
      <formula1>Product_MinMaxBalance</formula1>
    </dataValidation>
    <dataValidation type="list" allowBlank="1" showInputMessage="1" showErrorMessage="1" sqref="R7:R23">
      <formula1>Product_Others</formula1>
    </dataValidation>
    <dataValidation type="list" allowBlank="1" showInputMessage="1" showErrorMessage="1" sqref="R6">
      <formula1>Product_WaterVapor</formula1>
    </dataValidation>
    <dataValidation type="list" allowBlank="1" showInputMessage="1" showErrorMessage="1" sqref="G26:H26">
      <formula1>FeedFlow_Stream</formula1>
    </dataValidation>
    <dataValidation type="list" allowBlank="1" showInputMessage="1" showErrorMessage="1" sqref="G45">
      <formula1>AbsolutePress_Select</formula1>
    </dataValidation>
    <dataValidation type="list" allowBlank="1" showInputMessage="1" showErrorMessage="1" sqref="W6 O6 AA6">
      <formula1>Composition_View</formula1>
    </dataValidation>
    <dataValidation type="list" allowBlank="1" showInputMessage="1" showErrorMessage="1" sqref="AE2">
      <formula1>YES_NO</formula1>
    </dataValidation>
    <dataValidation type="list" allowBlank="1" showInputMessage="1" showErrorMessage="1" sqref="G39:H39">
      <formula1>"KG/M3, LB/FT3"</formula1>
    </dataValidation>
    <dataValidation type="list" allowBlank="1" showInputMessage="1" showErrorMessage="1" sqref="K7:L7">
      <formula1>Feed_Others</formula1>
    </dataValidation>
    <dataValidation type="list" allowBlank="1" showInputMessage="1" showErrorMessage="1" sqref="K6:L6">
      <formula1>Feed_WaterVapor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G271"/>
  <sheetViews>
    <sheetView workbookViewId="0">
      <selection activeCell="B17" sqref="B17"/>
    </sheetView>
  </sheetViews>
  <sheetFormatPr defaultRowHeight="15" customHeight="1"/>
  <cols>
    <col min="1" max="1" width="9.140625" style="32"/>
    <col min="2" max="2" width="11.7109375" style="32" customWidth="1"/>
    <col min="3" max="3" width="11.85546875" style="32" customWidth="1"/>
    <col min="4" max="4" width="11.5703125" style="32" bestFit="1" customWidth="1"/>
    <col min="5" max="5" width="10.42578125" style="32" bestFit="1" customWidth="1"/>
    <col min="6" max="6" width="9.5703125" style="32" bestFit="1" customWidth="1"/>
    <col min="7" max="8" width="10.42578125" style="32" customWidth="1"/>
    <col min="9" max="9" width="9.85546875" style="32" customWidth="1"/>
    <col min="10" max="10" width="9.5703125" style="32" bestFit="1" customWidth="1"/>
    <col min="11" max="13" width="9.28515625" style="32" bestFit="1" customWidth="1"/>
    <col min="14" max="14" width="11.85546875" style="32" bestFit="1" customWidth="1"/>
    <col min="15" max="15" width="11.28515625" style="32" bestFit="1" customWidth="1"/>
    <col min="16" max="16" width="11.5703125" style="32" bestFit="1" customWidth="1"/>
    <col min="17" max="18" width="11.28515625" style="32" bestFit="1" customWidth="1"/>
    <col min="19" max="19" width="11.5703125" style="32" bestFit="1" customWidth="1"/>
    <col min="20" max="20" width="10.42578125" style="32" customWidth="1"/>
    <col min="21" max="22" width="9.140625" style="32"/>
    <col min="23" max="23" width="11" style="32" bestFit="1" customWidth="1"/>
    <col min="24" max="24" width="9.140625" style="32"/>
    <col min="25" max="25" width="10.42578125" style="32" customWidth="1"/>
    <col min="26" max="26" width="11.42578125" style="32" customWidth="1"/>
    <col min="27" max="27" width="11.7109375" style="32" customWidth="1"/>
    <col min="28" max="28" width="9.140625" style="32"/>
    <col min="29" max="29" width="9.5703125" style="32" bestFit="1" customWidth="1"/>
    <col min="30" max="30" width="9.42578125" style="32" bestFit="1" customWidth="1"/>
    <col min="31" max="31" width="9.140625" style="32" customWidth="1"/>
    <col min="32" max="32" width="9.140625" style="32"/>
    <col min="33" max="33" width="14" style="32" customWidth="1"/>
    <col min="34" max="39" width="9.140625" style="32"/>
    <col min="40" max="40" width="12.28515625" style="32" customWidth="1"/>
    <col min="41" max="41" width="14.28515625" style="32" customWidth="1"/>
    <col min="42" max="42" width="9.42578125" style="32" bestFit="1" customWidth="1"/>
    <col min="43" max="65" width="9.140625" style="32"/>
    <col min="66" max="66" width="9.140625" style="32" customWidth="1"/>
    <col min="67" max="119" width="9.140625" style="32"/>
    <col min="120" max="121" width="9.28515625" style="32" bestFit="1" customWidth="1"/>
    <col min="122" max="122" width="9.5703125" style="32" bestFit="1" customWidth="1"/>
    <col min="123" max="136" width="9.28515625" style="32" bestFit="1" customWidth="1"/>
    <col min="137" max="139" width="9.140625" style="32"/>
    <col min="140" max="140" width="10" style="32" customWidth="1"/>
    <col min="141" max="16384" width="9.140625" style="32"/>
  </cols>
  <sheetData>
    <row r="2" spans="1:189" ht="15" customHeight="1">
      <c r="B2" s="33">
        <v>8.3144712500000004</v>
      </c>
      <c r="C2" s="33" t="s">
        <v>209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4" t="s">
        <v>210</v>
      </c>
      <c r="AF2" s="33">
        <v>28.96</v>
      </c>
      <c r="AG2" s="33"/>
      <c r="AH2" s="35"/>
      <c r="AI2" s="33"/>
      <c r="AJ2" s="33"/>
      <c r="AK2" s="36"/>
      <c r="AL2" s="33"/>
      <c r="AM2" s="33"/>
      <c r="AN2" s="36"/>
      <c r="AO2" s="33"/>
      <c r="AP2" s="33"/>
      <c r="AQ2" s="33"/>
      <c r="AR2" s="33"/>
      <c r="AS2" s="37"/>
      <c r="AT2" s="35"/>
      <c r="AU2" s="37"/>
      <c r="AV2" s="37"/>
      <c r="AW2" s="37"/>
      <c r="AX2" s="37"/>
      <c r="AY2" s="37"/>
      <c r="AZ2" s="35"/>
      <c r="BA2" s="33"/>
      <c r="BB2" s="33"/>
      <c r="BC2" s="36"/>
      <c r="BF2" s="38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8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8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6"/>
      <c r="DS2" s="38"/>
      <c r="EK2" s="38"/>
      <c r="FD2" s="40"/>
      <c r="FV2" s="41"/>
      <c r="FY2" s="41"/>
      <c r="FZ2" s="42"/>
      <c r="GA2" s="43"/>
      <c r="GB2" s="41"/>
    </row>
    <row r="3" spans="1:189" ht="1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4" t="s">
        <v>211</v>
      </c>
      <c r="AF3" s="32">
        <f>'Process DS'!AE4</f>
        <v>3.0816777260326109</v>
      </c>
      <c r="AG3" s="32">
        <f>'Process DS'!AF4</f>
        <v>3.0816777260326109</v>
      </c>
      <c r="AH3" s="36">
        <f>'Process DS'!AG4</f>
        <v>1.0339342772603262</v>
      </c>
      <c r="AK3" s="36"/>
      <c r="AN3" s="36"/>
      <c r="AS3" s="39"/>
      <c r="AT3" s="36"/>
      <c r="AU3" s="39"/>
      <c r="AV3" s="39"/>
      <c r="AW3" s="39"/>
      <c r="AX3" s="39"/>
      <c r="AY3" s="39"/>
      <c r="AZ3" s="36"/>
      <c r="BA3" s="33"/>
      <c r="BB3" s="33"/>
      <c r="BC3" s="36"/>
      <c r="BF3" s="38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8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8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6"/>
      <c r="DS3" s="38"/>
      <c r="EK3" s="38"/>
      <c r="FD3" s="40"/>
      <c r="FV3" s="41"/>
      <c r="FY3" s="41"/>
      <c r="GB3" s="41"/>
      <c r="GC3" s="42" t="s">
        <v>212</v>
      </c>
      <c r="GD3" s="44">
        <f>'Process DS'!AE31*0.000001</f>
        <v>9.9999999999999991E-5</v>
      </c>
      <c r="GE3" s="45" t="s">
        <v>213</v>
      </c>
      <c r="GF3" s="46">
        <v>0</v>
      </c>
      <c r="GG3" s="32" t="s">
        <v>214</v>
      </c>
    </row>
    <row r="4" spans="1:189" ht="15" customHeight="1">
      <c r="B4" s="33">
        <v>2</v>
      </c>
      <c r="C4" s="33">
        <f>B4+1</f>
        <v>3</v>
      </c>
      <c r="D4" s="33">
        <f t="shared" ref="D4:U4" si="0">C4+1</f>
        <v>4</v>
      </c>
      <c r="E4" s="33">
        <f t="shared" si="0"/>
        <v>5</v>
      </c>
      <c r="F4" s="33">
        <f t="shared" si="0"/>
        <v>6</v>
      </c>
      <c r="G4" s="33">
        <f t="shared" si="0"/>
        <v>7</v>
      </c>
      <c r="H4" s="33">
        <f t="shared" si="0"/>
        <v>8</v>
      </c>
      <c r="I4" s="33">
        <f t="shared" si="0"/>
        <v>9</v>
      </c>
      <c r="J4" s="33">
        <f t="shared" si="0"/>
        <v>10</v>
      </c>
      <c r="K4" s="33">
        <f t="shared" si="0"/>
        <v>11</v>
      </c>
      <c r="L4" s="33">
        <f t="shared" si="0"/>
        <v>12</v>
      </c>
      <c r="M4" s="33">
        <f t="shared" si="0"/>
        <v>13</v>
      </c>
      <c r="N4" s="33">
        <f t="shared" si="0"/>
        <v>14</v>
      </c>
      <c r="O4" s="33">
        <f t="shared" si="0"/>
        <v>15</v>
      </c>
      <c r="P4" s="33">
        <f t="shared" si="0"/>
        <v>16</v>
      </c>
      <c r="Q4" s="33">
        <f t="shared" si="0"/>
        <v>17</v>
      </c>
      <c r="R4" s="33">
        <f t="shared" si="0"/>
        <v>18</v>
      </c>
      <c r="S4" s="33">
        <f t="shared" si="0"/>
        <v>19</v>
      </c>
      <c r="T4" s="33">
        <f t="shared" si="0"/>
        <v>20</v>
      </c>
      <c r="U4" s="33">
        <f t="shared" si="0"/>
        <v>21</v>
      </c>
      <c r="V4" s="33">
        <f>U4+1</f>
        <v>22</v>
      </c>
      <c r="W4" s="33">
        <f>V4+1</f>
        <v>23</v>
      </c>
      <c r="X4" s="33">
        <f>W4+1</f>
        <v>24</v>
      </c>
      <c r="Y4" s="33">
        <f>X4+1</f>
        <v>25</v>
      </c>
      <c r="Z4" s="33"/>
      <c r="AE4" s="47" t="s">
        <v>215</v>
      </c>
      <c r="AF4" s="48">
        <f>'Process DS'!AE3</f>
        <v>294.26111111111106</v>
      </c>
      <c r="AG4" s="48">
        <f>'Process DS'!AF3</f>
        <v>275.92777777777775</v>
      </c>
      <c r="AH4" s="49">
        <f>'Process DS'!AG3</f>
        <v>275.92777777777775</v>
      </c>
      <c r="AK4" s="36"/>
      <c r="AN4" s="36"/>
      <c r="AS4" s="39"/>
      <c r="AT4" s="36"/>
      <c r="AU4" s="39"/>
      <c r="AV4" s="39"/>
      <c r="AW4" s="39"/>
      <c r="AX4" s="39"/>
      <c r="AY4" s="39"/>
      <c r="AZ4" s="36"/>
      <c r="BC4" s="36"/>
      <c r="BF4" s="38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8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8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6"/>
      <c r="DS4" s="38"/>
      <c r="EK4" s="38"/>
      <c r="FD4" s="40"/>
      <c r="FV4" s="41"/>
      <c r="FW4" s="42" t="s">
        <v>216</v>
      </c>
      <c r="FX4" s="44">
        <f>'Process DS'!AE30*0.000001</f>
        <v>9.9999999999999991E-6</v>
      </c>
      <c r="FY4" s="41"/>
      <c r="FZ4" s="42" t="s">
        <v>212</v>
      </c>
      <c r="GA4" s="44">
        <f>'Process DS'!AE31*0.000001</f>
        <v>9.9999999999999991E-5</v>
      </c>
      <c r="GB4" s="41"/>
      <c r="GC4" s="42" t="s">
        <v>217</v>
      </c>
      <c r="GD4" s="44">
        <f>'Process DS'!AE32*0.000001</f>
        <v>9.9999999999999991E-6</v>
      </c>
      <c r="GE4" s="45" t="s">
        <v>218</v>
      </c>
      <c r="GF4" s="50">
        <v>298.14999999999998</v>
      </c>
      <c r="GG4" s="32" t="s">
        <v>4</v>
      </c>
    </row>
    <row r="5" spans="1:189" ht="15" customHeight="1">
      <c r="A5" s="2"/>
      <c r="B5" s="2"/>
      <c r="C5" s="3" t="s">
        <v>2</v>
      </c>
      <c r="D5" s="4" t="s">
        <v>3</v>
      </c>
      <c r="E5" s="4"/>
      <c r="F5" s="4"/>
      <c r="G5" s="4" t="s">
        <v>4</v>
      </c>
      <c r="H5" s="4" t="s">
        <v>5</v>
      </c>
      <c r="I5" s="4" t="s">
        <v>6</v>
      </c>
      <c r="J5" s="4" t="s">
        <v>7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12</v>
      </c>
      <c r="Q5" s="4" t="s">
        <v>13</v>
      </c>
      <c r="R5" s="4" t="s">
        <v>14</v>
      </c>
      <c r="S5" s="4" t="s">
        <v>15</v>
      </c>
      <c r="T5" s="4" t="s">
        <v>16</v>
      </c>
      <c r="U5" s="2" t="s">
        <v>7</v>
      </c>
      <c r="V5" s="4" t="s">
        <v>3</v>
      </c>
      <c r="W5" s="4"/>
      <c r="X5" s="4"/>
      <c r="Y5" s="4"/>
      <c r="Z5" s="2"/>
      <c r="AB5" s="51" t="s">
        <v>219</v>
      </c>
      <c r="AF5" s="52" t="s">
        <v>220</v>
      </c>
      <c r="AG5" s="52"/>
      <c r="AH5" s="53"/>
      <c r="AI5" s="52" t="s">
        <v>21</v>
      </c>
      <c r="AK5" s="36"/>
      <c r="AL5" s="52" t="s">
        <v>21</v>
      </c>
      <c r="AN5" s="36"/>
      <c r="AO5" s="52" t="s">
        <v>221</v>
      </c>
      <c r="AP5" s="52"/>
      <c r="AS5" s="39"/>
      <c r="AT5" s="36"/>
      <c r="AU5" s="52" t="s">
        <v>222</v>
      </c>
      <c r="AV5" s="52"/>
      <c r="AY5" s="39"/>
      <c r="AZ5" s="36"/>
      <c r="BA5" s="52" t="s">
        <v>223</v>
      </c>
      <c r="BB5" s="52"/>
      <c r="BC5" s="53"/>
      <c r="BD5" s="52" t="s">
        <v>224</v>
      </c>
      <c r="BF5" s="38"/>
      <c r="BG5" s="52" t="s">
        <v>225</v>
      </c>
      <c r="BX5" s="38"/>
      <c r="BY5" s="52" t="s">
        <v>226</v>
      </c>
      <c r="CO5" s="39"/>
      <c r="CP5" s="38"/>
      <c r="CQ5" s="54" t="s">
        <v>227</v>
      </c>
      <c r="DH5" s="36"/>
      <c r="DI5" s="52" t="s">
        <v>228</v>
      </c>
      <c r="DQ5" s="55" t="s">
        <v>229</v>
      </c>
      <c r="DR5" s="50"/>
      <c r="DS5" s="38"/>
      <c r="DT5" s="52" t="s">
        <v>230</v>
      </c>
      <c r="EK5" s="38"/>
      <c r="EL5" s="52" t="s">
        <v>231</v>
      </c>
      <c r="FD5" s="56" t="s">
        <v>232</v>
      </c>
      <c r="FV5" s="57" t="s">
        <v>233</v>
      </c>
      <c r="FW5" s="58"/>
      <c r="FX5" s="58"/>
      <c r="FY5" s="57" t="s">
        <v>234</v>
      </c>
      <c r="FZ5" s="58"/>
      <c r="GA5" s="58"/>
      <c r="GB5" s="59" t="s">
        <v>235</v>
      </c>
      <c r="GE5" s="59" t="s">
        <v>236</v>
      </c>
    </row>
    <row r="6" spans="1:189" ht="15" customHeight="1">
      <c r="A6" s="3"/>
      <c r="B6" s="7" t="s">
        <v>19</v>
      </c>
      <c r="C6" s="7" t="s">
        <v>20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  <c r="I6" s="7" t="s">
        <v>26</v>
      </c>
      <c r="J6" s="7" t="s">
        <v>27</v>
      </c>
      <c r="K6" s="8" t="s">
        <v>28</v>
      </c>
      <c r="L6" s="8" t="s">
        <v>29</v>
      </c>
      <c r="M6" s="7" t="s">
        <v>30</v>
      </c>
      <c r="N6" s="7" t="s">
        <v>31</v>
      </c>
      <c r="O6" s="7" t="s">
        <v>32</v>
      </c>
      <c r="P6" s="7" t="s">
        <v>33</v>
      </c>
      <c r="Q6" s="7" t="s">
        <v>34</v>
      </c>
      <c r="R6" s="7" t="s">
        <v>35</v>
      </c>
      <c r="S6" s="7" t="s">
        <v>36</v>
      </c>
      <c r="T6" s="7" t="s">
        <v>37</v>
      </c>
      <c r="U6" s="3" t="s">
        <v>38</v>
      </c>
      <c r="V6" s="7" t="s">
        <v>39</v>
      </c>
      <c r="W6" s="3"/>
      <c r="X6" s="3"/>
      <c r="Y6" s="3"/>
      <c r="Z6" s="3"/>
      <c r="AB6" s="60" t="s">
        <v>237</v>
      </c>
      <c r="AC6" s="60" t="s">
        <v>238</v>
      </c>
      <c r="AD6" s="60" t="s">
        <v>239</v>
      </c>
      <c r="AE6" s="60"/>
      <c r="AF6" s="60" t="s">
        <v>237</v>
      </c>
      <c r="AG6" s="60" t="s">
        <v>238</v>
      </c>
      <c r="AH6" s="61" t="s">
        <v>239</v>
      </c>
      <c r="AI6" s="60" t="s">
        <v>237</v>
      </c>
      <c r="AJ6" s="60" t="s">
        <v>238</v>
      </c>
      <c r="AK6" s="61" t="s">
        <v>239</v>
      </c>
      <c r="AL6" s="60" t="s">
        <v>237</v>
      </c>
      <c r="AM6" s="60" t="s">
        <v>238</v>
      </c>
      <c r="AN6" s="61" t="s">
        <v>239</v>
      </c>
      <c r="AO6" s="60" t="s">
        <v>240</v>
      </c>
      <c r="AP6" s="60" t="s">
        <v>241</v>
      </c>
      <c r="AQ6" s="62" t="s">
        <v>242</v>
      </c>
      <c r="AR6" s="60" t="s">
        <v>241</v>
      </c>
      <c r="AS6" s="63" t="s">
        <v>243</v>
      </c>
      <c r="AT6" s="64" t="s">
        <v>244</v>
      </c>
      <c r="AU6" s="60" t="s">
        <v>240</v>
      </c>
      <c r="AV6" s="60" t="s">
        <v>241</v>
      </c>
      <c r="AW6" s="62" t="s">
        <v>242</v>
      </c>
      <c r="AX6" s="60" t="s">
        <v>241</v>
      </c>
      <c r="AY6" s="63" t="s">
        <v>243</v>
      </c>
      <c r="AZ6" s="64" t="s">
        <v>244</v>
      </c>
      <c r="BA6" s="60" t="s">
        <v>237</v>
      </c>
      <c r="BB6" s="60" t="s">
        <v>238</v>
      </c>
      <c r="BC6" s="61" t="s">
        <v>239</v>
      </c>
      <c r="BD6" s="60" t="s">
        <v>237</v>
      </c>
      <c r="BE6" s="60" t="s">
        <v>238</v>
      </c>
      <c r="BF6" s="65" t="s">
        <v>239</v>
      </c>
      <c r="BG6" s="66" t="s">
        <v>245</v>
      </c>
      <c r="BH6" s="66" t="s">
        <v>246</v>
      </c>
      <c r="BI6" s="66" t="s">
        <v>247</v>
      </c>
      <c r="BJ6" s="66" t="s">
        <v>248</v>
      </c>
      <c r="BK6" s="66" t="s">
        <v>249</v>
      </c>
      <c r="BL6" s="66" t="s">
        <v>250</v>
      </c>
      <c r="BM6" s="66" t="s">
        <v>251</v>
      </c>
      <c r="BN6" s="66" t="s">
        <v>252</v>
      </c>
      <c r="BO6" s="66" t="s">
        <v>253</v>
      </c>
      <c r="BP6" s="66" t="s">
        <v>254</v>
      </c>
      <c r="BQ6" s="66" t="s">
        <v>255</v>
      </c>
      <c r="BR6" s="66" t="s">
        <v>256</v>
      </c>
      <c r="BS6" s="66" t="s">
        <v>257</v>
      </c>
      <c r="BT6" s="66" t="s">
        <v>258</v>
      </c>
      <c r="BU6" s="66" t="s">
        <v>259</v>
      </c>
      <c r="BV6" s="66" t="s">
        <v>260</v>
      </c>
      <c r="BW6" s="66" t="s">
        <v>261</v>
      </c>
      <c r="BX6" s="67" t="s">
        <v>262</v>
      </c>
      <c r="BY6" s="66" t="s">
        <v>245</v>
      </c>
      <c r="BZ6" s="66" t="s">
        <v>246</v>
      </c>
      <c r="CA6" s="66" t="s">
        <v>247</v>
      </c>
      <c r="CB6" s="66" t="s">
        <v>248</v>
      </c>
      <c r="CC6" s="66" t="s">
        <v>249</v>
      </c>
      <c r="CD6" s="66" t="s">
        <v>250</v>
      </c>
      <c r="CE6" s="66" t="s">
        <v>251</v>
      </c>
      <c r="CF6" s="66" t="s">
        <v>252</v>
      </c>
      <c r="CG6" s="66" t="s">
        <v>253</v>
      </c>
      <c r="CH6" s="66" t="s">
        <v>254</v>
      </c>
      <c r="CI6" s="66" t="s">
        <v>255</v>
      </c>
      <c r="CJ6" s="66" t="s">
        <v>256</v>
      </c>
      <c r="CK6" s="66" t="s">
        <v>257</v>
      </c>
      <c r="CL6" s="66" t="s">
        <v>258</v>
      </c>
      <c r="CM6" s="66" t="s">
        <v>259</v>
      </c>
      <c r="CN6" s="66" t="s">
        <v>260</v>
      </c>
      <c r="CO6" s="68" t="s">
        <v>261</v>
      </c>
      <c r="CP6" s="67" t="s">
        <v>262</v>
      </c>
      <c r="CQ6" s="68" t="s">
        <v>245</v>
      </c>
      <c r="CR6" s="66" t="s">
        <v>246</v>
      </c>
      <c r="CS6" s="66" t="s">
        <v>247</v>
      </c>
      <c r="CT6" s="66" t="s">
        <v>248</v>
      </c>
      <c r="CU6" s="66" t="s">
        <v>249</v>
      </c>
      <c r="CV6" s="66" t="s">
        <v>250</v>
      </c>
      <c r="CW6" s="66" t="s">
        <v>251</v>
      </c>
      <c r="CX6" s="66" t="s">
        <v>252</v>
      </c>
      <c r="CY6" s="66" t="s">
        <v>253</v>
      </c>
      <c r="CZ6" s="66" t="s">
        <v>254</v>
      </c>
      <c r="DA6" s="66" t="s">
        <v>255</v>
      </c>
      <c r="DB6" s="66" t="s">
        <v>256</v>
      </c>
      <c r="DC6" s="66" t="s">
        <v>257</v>
      </c>
      <c r="DD6" s="66" t="s">
        <v>258</v>
      </c>
      <c r="DE6" s="66" t="s">
        <v>259</v>
      </c>
      <c r="DF6" s="66" t="s">
        <v>260</v>
      </c>
      <c r="DG6" s="66" t="s">
        <v>261</v>
      </c>
      <c r="DH6" s="69" t="s">
        <v>262</v>
      </c>
      <c r="DI6" s="70" t="s">
        <v>263</v>
      </c>
      <c r="DJ6" s="50" t="s">
        <v>264</v>
      </c>
      <c r="DK6" s="58" t="s">
        <v>265</v>
      </c>
      <c r="DL6" s="32" t="s">
        <v>266</v>
      </c>
      <c r="DM6" s="58" t="s">
        <v>267</v>
      </c>
      <c r="DN6" s="32" t="s">
        <v>266</v>
      </c>
      <c r="DO6" s="55" t="s">
        <v>268</v>
      </c>
      <c r="DP6" s="32" t="s">
        <v>266</v>
      </c>
      <c r="DQ6" s="58" t="s">
        <v>269</v>
      </c>
      <c r="DR6" s="58" t="s">
        <v>270</v>
      </c>
      <c r="DS6" s="71" t="s">
        <v>271</v>
      </c>
      <c r="DT6" s="66" t="s">
        <v>245</v>
      </c>
      <c r="DU6" s="66" t="s">
        <v>246</v>
      </c>
      <c r="DV6" s="66" t="s">
        <v>247</v>
      </c>
      <c r="DW6" s="66" t="s">
        <v>248</v>
      </c>
      <c r="DX6" s="66" t="s">
        <v>249</v>
      </c>
      <c r="DY6" s="66" t="s">
        <v>250</v>
      </c>
      <c r="DZ6" s="66" t="s">
        <v>251</v>
      </c>
      <c r="EA6" s="66" t="s">
        <v>252</v>
      </c>
      <c r="EB6" s="66" t="s">
        <v>253</v>
      </c>
      <c r="EC6" s="66" t="s">
        <v>254</v>
      </c>
      <c r="ED6" s="66" t="s">
        <v>255</v>
      </c>
      <c r="EE6" s="66" t="s">
        <v>256</v>
      </c>
      <c r="EF6" s="66" t="s">
        <v>257</v>
      </c>
      <c r="EG6" s="66" t="s">
        <v>258</v>
      </c>
      <c r="EH6" s="66" t="s">
        <v>259</v>
      </c>
      <c r="EI6" s="66" t="s">
        <v>260</v>
      </c>
      <c r="EJ6" s="66" t="s">
        <v>261</v>
      </c>
      <c r="EK6" s="67" t="s">
        <v>262</v>
      </c>
      <c r="EL6" s="66" t="s">
        <v>245</v>
      </c>
      <c r="EM6" s="66" t="s">
        <v>246</v>
      </c>
      <c r="EN6" s="66" t="s">
        <v>247</v>
      </c>
      <c r="EO6" s="66" t="s">
        <v>248</v>
      </c>
      <c r="EP6" s="66" t="s">
        <v>249</v>
      </c>
      <c r="EQ6" s="66" t="s">
        <v>250</v>
      </c>
      <c r="ER6" s="66" t="s">
        <v>251</v>
      </c>
      <c r="ES6" s="66" t="s">
        <v>252</v>
      </c>
      <c r="ET6" s="66" t="s">
        <v>253</v>
      </c>
      <c r="EU6" s="66" t="s">
        <v>254</v>
      </c>
      <c r="EV6" s="66" t="s">
        <v>255</v>
      </c>
      <c r="EW6" s="66" t="s">
        <v>256</v>
      </c>
      <c r="EX6" s="66" t="s">
        <v>257</v>
      </c>
      <c r="EY6" s="66" t="s">
        <v>258</v>
      </c>
      <c r="EZ6" s="66" t="s">
        <v>259</v>
      </c>
      <c r="FA6" s="66" t="s">
        <v>260</v>
      </c>
      <c r="FB6" s="66" t="s">
        <v>261</v>
      </c>
      <c r="FC6" s="66" t="s">
        <v>262</v>
      </c>
      <c r="FD6" s="72" t="s">
        <v>245</v>
      </c>
      <c r="FE6" s="66" t="s">
        <v>246</v>
      </c>
      <c r="FF6" s="66" t="s">
        <v>247</v>
      </c>
      <c r="FG6" s="66" t="s">
        <v>248</v>
      </c>
      <c r="FH6" s="66" t="s">
        <v>249</v>
      </c>
      <c r="FI6" s="66" t="s">
        <v>250</v>
      </c>
      <c r="FJ6" s="66" t="s">
        <v>251</v>
      </c>
      <c r="FK6" s="66" t="s">
        <v>252</v>
      </c>
      <c r="FL6" s="66" t="s">
        <v>253</v>
      </c>
      <c r="FM6" s="66" t="s">
        <v>254</v>
      </c>
      <c r="FN6" s="66" t="s">
        <v>255</v>
      </c>
      <c r="FO6" s="66" t="s">
        <v>256</v>
      </c>
      <c r="FP6" s="66" t="s">
        <v>257</v>
      </c>
      <c r="FQ6" s="66" t="s">
        <v>258</v>
      </c>
      <c r="FR6" s="66" t="s">
        <v>259</v>
      </c>
      <c r="FS6" s="66" t="s">
        <v>260</v>
      </c>
      <c r="FT6" s="66" t="s">
        <v>261</v>
      </c>
      <c r="FU6" s="66" t="s">
        <v>262</v>
      </c>
      <c r="FV6" s="73" t="s">
        <v>237</v>
      </c>
      <c r="FW6" s="58" t="s">
        <v>238</v>
      </c>
      <c r="FX6" s="58" t="s">
        <v>239</v>
      </c>
      <c r="FY6" s="73" t="s">
        <v>237</v>
      </c>
      <c r="FZ6" s="58" t="s">
        <v>238</v>
      </c>
      <c r="GA6" s="58" t="s">
        <v>239</v>
      </c>
      <c r="GB6" s="73" t="s">
        <v>237</v>
      </c>
      <c r="GC6" s="58" t="s">
        <v>238</v>
      </c>
      <c r="GD6" s="58" t="s">
        <v>239</v>
      </c>
      <c r="GE6" s="74" t="s">
        <v>237</v>
      </c>
      <c r="GF6" s="75" t="s">
        <v>238</v>
      </c>
      <c r="GG6" s="75" t="s">
        <v>239</v>
      </c>
    </row>
    <row r="7" spans="1:189" ht="15" customHeight="1">
      <c r="B7" s="19" t="s">
        <v>272</v>
      </c>
      <c r="C7" s="17">
        <f>0*12.0107+2*1.00794+1*15.9994+0*14.0067+0*32.064</f>
        <v>18.015280000000001</v>
      </c>
      <c r="D7" s="18">
        <v>50.311999999999998</v>
      </c>
      <c r="E7" s="19">
        <v>0</v>
      </c>
      <c r="F7" s="19">
        <v>0</v>
      </c>
      <c r="G7" s="20">
        <v>647.29999999999995</v>
      </c>
      <c r="H7" s="20">
        <v>221.2</v>
      </c>
      <c r="I7" s="21">
        <v>57.1</v>
      </c>
      <c r="J7" s="14">
        <v>0.23499999999999999</v>
      </c>
      <c r="K7" s="14">
        <v>0.23499999999999999</v>
      </c>
      <c r="L7" s="21">
        <v>0</v>
      </c>
      <c r="M7" s="14">
        <v>32.24</v>
      </c>
      <c r="N7" s="15">
        <v>1.9239999999999999E-3</v>
      </c>
      <c r="O7" s="15">
        <v>1.0550000000000001E-5</v>
      </c>
      <c r="P7" s="15">
        <v>-3.596E-9</v>
      </c>
      <c r="Q7" s="15">
        <v>7.3410000000000003E-3</v>
      </c>
      <c r="R7" s="15">
        <v>-1.013E-5</v>
      </c>
      <c r="S7" s="15">
        <v>1.801E-7</v>
      </c>
      <c r="T7" s="15">
        <v>-9.0999999999999996E-11</v>
      </c>
      <c r="U7" s="17">
        <v>7.5999999999999998E-2</v>
      </c>
      <c r="V7" s="12">
        <v>7.3410000000000003E-3</v>
      </c>
      <c r="W7" s="15">
        <v>0</v>
      </c>
      <c r="X7" s="15">
        <v>0</v>
      </c>
      <c r="Y7" s="15">
        <v>0</v>
      </c>
      <c r="Z7" s="17"/>
      <c r="AB7" s="76">
        <f t="shared" ref="AB7:AB24" si="1">H37/100</f>
        <v>2.0000000000000002E-7</v>
      </c>
      <c r="AC7" s="77">
        <f>I101/100</f>
        <v>1.015999999999999E-6</v>
      </c>
      <c r="AD7" s="76" t="e">
        <f>L203/100</f>
        <v>#DIV/0!</v>
      </c>
      <c r="AF7" s="78">
        <f t="shared" ref="AF7:AH24" si="2">AB7*$C7</f>
        <v>3.6030560000000003E-6</v>
      </c>
      <c r="AG7" s="78">
        <f t="shared" si="2"/>
        <v>1.8303524479999982E-5</v>
      </c>
      <c r="AH7" s="79" t="e">
        <f t="shared" si="2"/>
        <v>#DIV/0!</v>
      </c>
      <c r="AI7" s="80">
        <f>AB7*$D7</f>
        <v>1.00624E-5</v>
      </c>
      <c r="AJ7" s="80">
        <f>AC7*$D7</f>
        <v>5.1116991999999949E-5</v>
      </c>
      <c r="AK7" s="81" t="e">
        <f>AD7*$D7</f>
        <v>#DIV/0!</v>
      </c>
      <c r="AL7" s="82">
        <f>AB7*$V7</f>
        <v>1.4682000000000002E-9</v>
      </c>
      <c r="AM7" s="82">
        <f>AC7*$V7</f>
        <v>7.4584559999999928E-9</v>
      </c>
      <c r="AN7" s="81" t="e">
        <f>AD7*$V7</f>
        <v>#DIV/0!</v>
      </c>
      <c r="AO7" s="83">
        <f>AB7*$E7</f>
        <v>0</v>
      </c>
      <c r="AP7" s="83">
        <f>I37*$E7</f>
        <v>0</v>
      </c>
      <c r="AQ7" s="83">
        <f>AC7*$E7</f>
        <v>0</v>
      </c>
      <c r="AR7" s="83">
        <f>J101*$E7</f>
        <v>0</v>
      </c>
      <c r="AS7" s="84" t="e">
        <f>AD7*$E7</f>
        <v>#DIV/0!</v>
      </c>
      <c r="AT7" s="85" t="e">
        <f>M203*$E7</f>
        <v>#DIV/0!</v>
      </c>
      <c r="AU7" s="83">
        <f>AB7*$F7</f>
        <v>0</v>
      </c>
      <c r="AV7" s="83">
        <f>I37*$F7</f>
        <v>0</v>
      </c>
      <c r="AW7" s="83">
        <f t="shared" ref="AW7:AW24" si="3">AC7*$F7</f>
        <v>0</v>
      </c>
      <c r="AX7" s="83">
        <f>J101*$F7</f>
        <v>0</v>
      </c>
      <c r="AY7" s="83" t="e">
        <f>AD7*$F7</f>
        <v>#DIV/0!</v>
      </c>
      <c r="AZ7" s="86" t="e">
        <f>M203*$F7</f>
        <v>#DIV/0!</v>
      </c>
      <c r="BA7" s="87">
        <f t="shared" ref="BA7:BC24" si="4">AB7*($M7+$N7*AF$4+$O7*(AF$4^2)+$P7*(AF$4^3))</f>
        <v>6.7256105530152687E-6</v>
      </c>
      <c r="BB7" s="87">
        <f t="shared" si="4"/>
        <v>3.4034553486841049E-5</v>
      </c>
      <c r="BC7" s="88" t="e">
        <f t="shared" si="4"/>
        <v>#DIV/0!</v>
      </c>
      <c r="BD7" s="89">
        <f t="shared" ref="BD7:BF22" si="5">$Q7+$R7*AF$4+$S7*(AF$4^2)+$T7*(AF$4^3)</f>
        <v>1.7636246512814001E-2</v>
      </c>
      <c r="BE7" s="89">
        <f t="shared" si="5"/>
        <v>1.6346235291670327E-2</v>
      </c>
      <c r="BF7" s="90">
        <f t="shared" si="5"/>
        <v>1.6346235291670327E-2</v>
      </c>
      <c r="BG7" s="91">
        <f>AB7*IF(B$7&lt;&gt;"-",IF(B7&lt;&gt;"-",(1+SQRT(BD$7/BD7)*((C7/C$7)^(1/4)))^2/SQRT(8*(1+(C$7/C7))),0),0)</f>
        <v>2.0000000000000002E-7</v>
      </c>
      <c r="BH7" s="91">
        <f>AB7*IF(B$8&lt;&gt;"-",IF(B7&lt;&gt;"-",(1+SQRT(BD$8/BD7)*((C7/C$8)^(1/4)))^2/SQRT(8*(1+(C$8/C7))),0),0)</f>
        <v>1.201282914117667E-7</v>
      </c>
      <c r="BI7" s="91">
        <f>AB7*IF(B$9&lt;&gt;"-",IF(B7&lt;&gt;"-",(1+SQRT(BD$9/BD7)*((C7/C$9)^(1/4)))^2/SQRT(8*(1+(C$9/C7))),0),0)</f>
        <v>1.8697623551773999E-7</v>
      </c>
      <c r="BJ7" s="91">
        <f>AB7*IF(B$10&lt;&gt;"-",IF(B7&lt;&gt;"-",(1+SQRT(BD$10/BD7)*((C7/C$10)^(1/4)))^2/SQRT(8*(1+(C$10/C7))),0),0)</f>
        <v>2.9876139611725561E-7</v>
      </c>
      <c r="BK7" s="91">
        <f>AB7*IF(B$11&lt;&gt;"-",IF(B7&lt;&gt;"-",(1+SQRT(BD$11/BD7)*((C7/C$11)^(1/4)))^2/SQRT(8*(1+(C$11/C7))),0),0)</f>
        <v>1.8991697495319429E-7</v>
      </c>
      <c r="BL7" s="91">
        <f>AB7*IF(B$12&lt;&gt;"-",IF(B7&lt;&gt;"-",(1+SQRT(BD$12/BD7)*((C7/C$12)^(1/4)))^2/SQRT(8*(1+(C$12/C7))),0),0)</f>
        <v>1.7867128974263949E-7</v>
      </c>
      <c r="BM7" s="91">
        <f>AB7*IF(B$13&lt;&gt;"-",IF(B7&lt;&gt;"-",(1+SQRT(BD$13/BD7)*((C7/C$13)^(1/4)))^2/SQRT(8*(1+(C$13/C7))),0),0)</f>
        <v>1.720556785122785E-6</v>
      </c>
      <c r="BN7" s="91">
        <f>AB7*IF(B$14&lt;&gt;"-",IF(B7&lt;&gt;"-",(1+SQRT(BD$14/BD7)*((C7/C$14)^(1/4)))^2/SQRT(8*(1+(C$14/C7))),0),0)</f>
        <v>0</v>
      </c>
      <c r="BO7" s="91">
        <f>AB7*IF(B$15&lt;&gt;"-",IF(B7&lt;&gt;"-",(1+SQRT(BD$15/BD7)*((C7/C$15)^(1/4)))^2/SQRT(8*(1+(C$15/C7))),0),0)</f>
        <v>0</v>
      </c>
      <c r="BP7" s="91">
        <f>AB7*IF(B$16&lt;&gt;"-",IF(B7&lt;&gt;"-",(1+SQRT(BD$16/BD7)*((C7/C$16)^(1/4)))^2/SQRT(8*(1+(C$16/C7))),0),0)</f>
        <v>0</v>
      </c>
      <c r="BQ7" s="91">
        <f>AB7*IF(B$17&lt;&gt;"-",IF(B7&lt;&gt;"-",(1+SQRT(BD$17/BD7)*((C7/C$17)^(1/4)))^2/SQRT(8*(1+(C$17/C7))),0),0)</f>
        <v>0</v>
      </c>
      <c r="BR7" s="91">
        <f>AB7*IF(B$18&lt;&gt;"-",IF(B7&lt;&gt;"-",(1+SQRT(BD$18/BD7)*((C7/C$18)^(1/4)))^2/SQRT(8*(1+(C$18/C7))),0),0)</f>
        <v>0</v>
      </c>
      <c r="BS7" s="91">
        <f>AB7*IF(B$19&lt;&gt;"-",IF(B7&lt;&gt;"-",(1+SQRT(BD$19/BD7)*((C7/C$19)^(1/4)))^2/SQRT(8*(1+(C$19/C7))),0),0)</f>
        <v>0</v>
      </c>
      <c r="BT7" s="91">
        <f>AB7*IF(B$20&lt;&gt;"-",IF(B7&lt;&gt;"-",(1+SQRT(BD$20/BD7)*((C7/C$20)^(1/4)))^2/SQRT(8*(1+(C$20/C7))),0),0)</f>
        <v>0</v>
      </c>
      <c r="BU7" s="91">
        <f>AB7*IF(B$21&lt;&gt;"-",IF(B7&lt;&gt;"-",(1+SQRT(BD$21/BD7)*((C7/C$21)^(1/4)))^2/SQRT(8*(1+(C$21/C7))),0),0)</f>
        <v>0</v>
      </c>
      <c r="BV7" s="91">
        <f>AB7*IF(B$22&lt;&gt;"-",IF(B7&lt;&gt;"-",(1+SQRT(BD$22/BD7)*((C7/C$22)^(1/4)))^2/SQRT(8*(1+(C$22/C7))),0),0)</f>
        <v>0</v>
      </c>
      <c r="BW7" s="91">
        <f>AB7*IF(B$23&lt;&gt;"-",IF(B7&lt;&gt;"-",(1+SQRT(BD$23/BD7)*((C7/C$23)^(1/4)))^2/SQRT(8*(1+(C$23/C7))),0),0)</f>
        <v>0</v>
      </c>
      <c r="BX7" s="90">
        <f>AB7*IF(B$24&lt;&gt;"-",IF(B7&lt;&gt;"-",(1+SQRT(BD$24/BD7)*((C7/C$24)^(1/4)))^2/SQRT(8*(1+(C$24/C7))),0),0)</f>
        <v>0</v>
      </c>
      <c r="BY7" s="91">
        <f>AC7*IF(B$7&lt;&gt;"-",IF(B7&lt;&gt;"-",(1+SQRT(BE$7/BE7)*((C7/C$7)^(1/4)))^2/SQRT(8*(1+(C$7/C7))),0),0)</f>
        <v>1.015999999999999E-6</v>
      </c>
      <c r="BZ7" s="91">
        <f>AC7*IF(B$8&lt;&gt;"-",IF(B7&lt;&gt;"-",(1+SQRT(BE$8/BE7)*((C7/C$8)^(1/4)))^2/SQRT(8*(1+(C$8/C7))),0),0)</f>
        <v>6.0560601392513867E-7</v>
      </c>
      <c r="CA7" s="91">
        <f>AC7*IF(B$9&lt;&gt;"-",IF(B7&lt;&gt;"-",(1+SQRT(BE$9/BE7)*((C7/C$9)^(1/4)))^2/SQRT(8*(1+(C$9/C7))),0),0)</f>
        <v>9.5951984656507715E-7</v>
      </c>
      <c r="CB7" s="91">
        <f>AC7*IF(B$10&lt;&gt;"-",IF(B7&lt;&gt;"-",(1+SQRT(BE$10/BE7)*((C7/C$10)^(1/4)))^2/SQRT(8*(1+(C$10/C7))),0),0)</f>
        <v>1.5104726731182683E-6</v>
      </c>
      <c r="CC7" s="91">
        <f>AC7*IF(B$11&lt;&gt;"-",IF(B7&lt;&gt;"-",(1+SQRT(BE$11/BE7)*((C7/C$11)^(1/4)))^2/SQRT(8*(1+(C$11/C7))),0),0)</f>
        <v>9.7564694135135302E-7</v>
      </c>
      <c r="CD7" s="91">
        <f>AC7*IF(B$12&lt;&gt;"-",IF(B7&lt;&gt;"-",(1+SQRT(BE$12/BE7)*((C7/C$12)^(1/4)))^2/SQRT(8*(1+(C$12/C7))),0),0)</f>
        <v>9.1579558705565352E-7</v>
      </c>
      <c r="CE7" s="91">
        <f>AC7*IF(B$13&lt;&gt;"-",IF(B7&lt;&gt;"-",(1+SQRT(BE$13/BE7)*((C7/C$13)^(1/4)))^2/SQRT(8*(1+(C$13/C7))),0),0)</f>
        <v>8.9617682185248597E-6</v>
      </c>
      <c r="CF7" s="91">
        <f>AC7*IF(B$14&lt;&gt;"-",IF(B7&lt;&gt;"-",(1+SQRT(BE$14/BE7)*((C7/C$14)^(1/4)))^2/SQRT(8*(1+(C$14/C7))),0),0)</f>
        <v>0</v>
      </c>
      <c r="CG7" s="91">
        <f>AC7*IF(B$15&lt;&gt;"-",IF(B7&lt;&gt;"-",(1+SQRT(BE$15/BE7)*((C7/C$15)^(1/4)))^2/SQRT(8*(1+(C$15/C7))),0),0)</f>
        <v>0</v>
      </c>
      <c r="CH7" s="91">
        <f>AC7*IF(B$16&lt;&gt;"-",IF(B7&lt;&gt;"-",(1+SQRT(BE$16/BE7)*((C7/C$16)^(1/4)))^2/SQRT(8*(1+(C$16/C7))),0),0)</f>
        <v>0</v>
      </c>
      <c r="CI7" s="91">
        <f>AC7*IF(B$17&lt;&gt;"-",IF(B7&lt;&gt;"-",(1+SQRT(BE$17/BE7)*((C7/C$17)^(1/4)))^2/SQRT(8*(1+(C$17/C7))),0),0)</f>
        <v>0</v>
      </c>
      <c r="CJ7" s="91">
        <f>AC7*IF(B$18&lt;&gt;"-",IF(B7&lt;&gt;"-",(1+SQRT(BE$18/BE7)*((C7/C$18)^(1/4)))^2/SQRT(8*(1+(C$18/C7))),0),0)</f>
        <v>0</v>
      </c>
      <c r="CK7" s="91">
        <f>AC7*IF(B$19&lt;&gt;"-",IF(B7&lt;&gt;"-",(1+SQRT(BE$19/BE7)*((C7/C$19)^(1/4)))^2/SQRT(8*(1+(C$19/C7))),0),0)</f>
        <v>0</v>
      </c>
      <c r="CL7" s="91">
        <f>AC7*IF(B$20&lt;&gt;"-",IF(B7&lt;&gt;"-",(1+SQRT(BE$20/BE7)*((C7/C$20)^(1/4)))^2/SQRT(8*(1+(C$20/C7))),0),0)</f>
        <v>0</v>
      </c>
      <c r="CM7" s="91">
        <f>AC7*IF(B$21&lt;&gt;"-",IF(B7&lt;&gt;"-",(1+SQRT(BE$21/BE7)*((C7/C$21)^(1/4)))^2/SQRT(8*(1+(C$21/C7))),0),0)</f>
        <v>0</v>
      </c>
      <c r="CN7" s="91">
        <f>AC7*IF(B$22&lt;&gt;"-",IF(B7&lt;&gt;"-",(1+SQRT(BE$22/BE7)*((C7/C$22)^(1/4)))^2/SQRT(8*(1+(C$22/C7))),0),0)</f>
        <v>0</v>
      </c>
      <c r="CO7" s="91">
        <f>AC7*IF(B$23&lt;&gt;"-",IF(B7&lt;&gt;"-",(1+SQRT(BE$23/BE7)*((C7/C$23)^(1/4)))^2/SQRT(8*(1+(C$23/C7))),0),0)</f>
        <v>0</v>
      </c>
      <c r="CP7" s="90">
        <f>AC7*IF(B$24&lt;&gt;"-",IF(B7&lt;&gt;"-",(1+SQRT(BE$24/BE7)*((C7/C$24)^(1/4)))^2/SQRT(8*(1+(C$24/C7))),0),0)</f>
        <v>0</v>
      </c>
      <c r="CQ7" s="91" t="e">
        <f>AD7*IF(B$7&lt;&gt;"-",IF(B7&lt;&gt;"-",(1+SQRT(BF$7/BF7)*((C7/C$7)^(1/4)))^2/SQRT(8*(1+(C$7/C7))),0),0)</f>
        <v>#DIV/0!</v>
      </c>
      <c r="CR7" s="91" t="e">
        <f>AD7*IF(B$8&lt;&gt;"-",IF(B7&lt;&gt;"-",(1+SQRT(BF$8/BF7)*((C7/C$8)^(1/4)))^2/SQRT(8*(1+(C$8/C7))),0),0)</f>
        <v>#DIV/0!</v>
      </c>
      <c r="CS7" s="91" t="e">
        <f>AD7*IF(B$9&lt;&gt;"-",IF(B7&lt;&gt;"-",(1+SQRT(BF$9/BF7)*((C7/C$9)^(1/4)))^2/SQRT(8*(1+(C$9/C7))),0),0)</f>
        <v>#DIV/0!</v>
      </c>
      <c r="CT7" s="91" t="e">
        <f>AD7*IF(B$10&lt;&gt;"-",IF(B7&lt;&gt;"-",(1+SQRT(BF$10/BF7)*((C7/C$10)^(1/4)))^2/SQRT(8*(1+(C$10/C7))),0),0)</f>
        <v>#DIV/0!</v>
      </c>
      <c r="CU7" s="91" t="e">
        <f>AD7*IF(B$11&lt;&gt;"-",IF(B7&lt;&gt;"-",(1+SQRT(BF$11/BF7)*((C7/C$11)^(1/4)))^2/SQRT(8*(1+(C$11/C7))),0),0)</f>
        <v>#DIV/0!</v>
      </c>
      <c r="CV7" s="91" t="e">
        <f>AD7*IF(B$12&lt;&gt;"-",IF(B7&lt;&gt;"-",(1+SQRT(BF$12/BF7)*((C7/C$12)^(1/4)))^2/SQRT(8*(1+(C$12/C7))),0),0)</f>
        <v>#DIV/0!</v>
      </c>
      <c r="CW7" s="91" t="e">
        <f>AD7*IF(B$13&lt;&gt;"-",IF(B7&lt;&gt;"-",(1+SQRT(BF$13/BF7)*((C7/C$13)^(1/4)))^2/SQRT(8*(1+(C$13/C7))),0),0)</f>
        <v>#DIV/0!</v>
      </c>
      <c r="CX7" s="91" t="e">
        <f>AD7*IF(B$14&lt;&gt;"-",IF(B7&lt;&gt;"-",(1+SQRT(BF$14/BF7)*((C7/C$14)^(1/4)))^2/SQRT(8*(1+(C$14/C7))),0),0)</f>
        <v>#DIV/0!</v>
      </c>
      <c r="CY7" s="91" t="e">
        <f>AD7*IF(B$15&lt;&gt;"-",IF(B7&lt;&gt;"-",(1+SQRT(BF$15/BF7)*((C7/C$15)^(1/4)))^2/SQRT(8*(1+(C$15/C7))),0),0)</f>
        <v>#DIV/0!</v>
      </c>
      <c r="CZ7" s="91" t="e">
        <f>AD7*IF(B$16&lt;&gt;"-",IF(B7&lt;&gt;"-",(1+SQRT(BF$16/BF7)*((C7/C$16)^(1/4)))^2/SQRT(8*(1+(C$16/C7))),0),0)</f>
        <v>#DIV/0!</v>
      </c>
      <c r="DA7" s="91" t="e">
        <f>AD7*IF(B$17&lt;&gt;"-",IF(B7&lt;&gt;"-",(1+SQRT(BF$17/BF7)*((C7/C$17)^(1/4)))^2/SQRT(8*(1+(C$17/C7))),0),0)</f>
        <v>#DIV/0!</v>
      </c>
      <c r="DB7" s="91" t="e">
        <f>AD7*IF(B$18&lt;&gt;"-",IF(B7&lt;&gt;"-",(1+SQRT(BF$18/BF7)*((C7/C$18)^(1/4)))^2/SQRT(8*(1+(C$18/C7))),0),0)</f>
        <v>#DIV/0!</v>
      </c>
      <c r="DC7" s="91" t="e">
        <f>AD7*IF(B$19&lt;&gt;"-",IF(B7&lt;&gt;"-",(1+SQRT(BF$19/BF7)*((C7/C$19)^(1/4)))^2/SQRT(8*(1+(C$19/C7))),0),0)</f>
        <v>#DIV/0!</v>
      </c>
      <c r="DD7" s="91" t="e">
        <f>AD7*IF(B$20&lt;&gt;"-",IF(B7&lt;&gt;"-",(1+SQRT(BF$20/BF7)*((C7/C$20)^(1/4)))^2/SQRT(8*(1+(C$20/C7))),0),0)</f>
        <v>#DIV/0!</v>
      </c>
      <c r="DE7" s="91" t="e">
        <f>AD7*IF(B$21&lt;&gt;"-",IF(B7&lt;&gt;"-",(1+SQRT(BF$21/BF7)*((C7/C$21)^(1/4)))^2/SQRT(8*(1+(C$21/C7))),0),0)</f>
        <v>#DIV/0!</v>
      </c>
      <c r="DF7" s="91" t="e">
        <f>AD7*IF(B$22&lt;&gt;"-",IF(B7&lt;&gt;"-",(1+SQRT(BF$22/BF7)*((C7/C$22)^(1/4)))^2/SQRT(8*(1+(C$22/C7))),0),0)</f>
        <v>#DIV/0!</v>
      </c>
      <c r="DG7" s="91" t="e">
        <f>AD7*IF(B$23&lt;&gt;"-",IF(B7&lt;&gt;"-",(1+SQRT(BF$23/BF7)*((C7/C$23)^(1/4)))^2/SQRT(8*(1+(C$23/C7))),0),0)</f>
        <v>#DIV/0!</v>
      </c>
      <c r="DH7" s="92" t="e">
        <f>AD7*IF(B$24&lt;&gt;"-",IF(B7&lt;&gt;"-",(1+SQRT(BF$24/BF7)*((C7/C$24)^(1/4)))^2/SQRT(8*(1+(C$24/C7))),0),0)</f>
        <v>#DIV/0!</v>
      </c>
      <c r="DI7" s="93">
        <f>IF(B7&lt;&gt;"-",52.46*(L7^2)*H7/(G7^2),0)</f>
        <v>0</v>
      </c>
      <c r="DJ7" s="94">
        <f t="shared" ref="DJ7:DJ24" si="6">1-0.2756*K7+0.059035*(DI7^4)+U7</f>
        <v>1.011234</v>
      </c>
      <c r="DK7" s="95">
        <f t="shared" ref="DK7:DK24" si="7">IF(B7&lt;&gt;"-",1.2593*AF$4/G7,0)</f>
        <v>0.57247492232693065</v>
      </c>
      <c r="DL7" s="95">
        <f>IF(DK7&gt;0,1.16145*(DK7^(-0.14874))+0.52487*EXP(-0.7732*DK7)+2.16178*EXP(-2.43787*DK7),0)</f>
        <v>2.1344936929309384</v>
      </c>
      <c r="DM7" s="95">
        <f t="shared" ref="DM7:DM24" si="8">IF(B7&lt;&gt;"-",1.2593*AG$4/G7,0)</f>
        <v>0.53680804967643381</v>
      </c>
      <c r="DN7" s="95">
        <f>IF(DM7&gt;0,1.16145*(DM7^(-0.14874))+0.52487*EXP(-0.7732*DM7)+2.16178*EXP(-2.43787*DM7),0)</f>
        <v>2.2046931817405211</v>
      </c>
      <c r="DO7" s="95">
        <f t="shared" ref="DO7:DO24" si="9">IF(B7&lt;&gt;"-",1.2593*AH$4/G7,0)</f>
        <v>0.53680804967643381</v>
      </c>
      <c r="DP7" s="95">
        <f>IF(DO7&gt;0,1.16145*(DO7^(-0.14874))+0.52487*EXP(-0.7732*DO7)+2.16178*EXP(-2.43787*DO7),0)</f>
        <v>2.2046931817405211</v>
      </c>
      <c r="DQ7" s="96">
        <f t="shared" ref="DQ7:DQ24" si="10">IF(B7&lt;&gt;"-",40.785*DJ7*SQRT(C7*AF$4)/(I7^(2/3))/DL7,0)</f>
        <v>94.875364755607535</v>
      </c>
      <c r="DR7" s="96">
        <f t="shared" ref="DR7:DR24" si="11">IF(B7&lt;&gt;"-",40.785*DJ7*SQRT(C7*AG$4)/(I7^(2/3))/DN7,0)</f>
        <v>88.947030118871538</v>
      </c>
      <c r="DS7" s="97">
        <f t="shared" ref="DS7:DS24" si="12">IF(B7&lt;&gt;"-",40.785*DJ7*SQRT(C7*AH$4)/(I7^(2/3))/DP7,0)</f>
        <v>88.947030118871538</v>
      </c>
      <c r="DT7" s="98">
        <f t="shared" ref="DT7:DT24" si="13">AB7*IF(B$7&lt;&gt;"-",IF(B7&lt;&gt;"-",(1+SQRT(DQ$7/DQ7)*((C7/C$7)^(1/4)))^2/SQRT(8*(1+(C$7/C7))),0),0)</f>
        <v>2.0000000000000002E-7</v>
      </c>
      <c r="DU7" s="98">
        <f t="shared" ref="DU7:DU24" si="14">AB7*IF(B$8&lt;&gt;"-",IF(B7&lt;&gt;"-",(1+SQRT(DQ$8/DQ7)*((C7/C$8)^(1/4)))^2/SQRT(8*(1+(C$8/C7))),0),0)</f>
        <v>1.5095384697609302E-7</v>
      </c>
      <c r="DV7" s="98">
        <f t="shared" ref="DV7:DV24" si="15">AB7*IF(B$9&lt;&gt;"-",IF(B7&lt;&gt;"-",(1+SQRT(DQ$9/DQ7)*((C7/C$9)^(1/4)))^2/SQRT(8*(1+(C$9/C7))),0),0)</f>
        <v>2.1166571691411323E-7</v>
      </c>
      <c r="DW7" s="98">
        <f t="shared" ref="DW7:DW24" si="16">AB7*IF(B$10&lt;&gt;"-",IF(B7&lt;&gt;"-",(1+SQRT(DQ$10/DQ7)*((C7/C$10)^(1/4)))^2/SQRT(8*(1+(C$10/C7))),0),0)</f>
        <v>2.2841010781972255E-7</v>
      </c>
      <c r="DX7" s="98">
        <f t="shared" ref="DX7:DX24" si="17">AB7*IF(B$11&lt;&gt;"-",IF(B7&lt;&gt;"-",(1+SQRT(DQ$11/DQ7)*((C7/C$11)^(1/4)))^2/SQRT(8*(1+(C$11/C7))),0),0)</f>
        <v>2.171005096427317E-7</v>
      </c>
      <c r="DY7" s="98">
        <f t="shared" ref="DY7:DY24" si="18">AB7*IF(B$12&lt;&gt;"-",IF(B7&lt;&gt;"-",(1+SQRT(DQ$12/DQ7)*((C7/C$12)^(1/4)))^2/SQRT(8*(1+(C$12/C7))),0),0)</f>
        <v>2.1768264769687142E-7</v>
      </c>
      <c r="DZ7" s="98">
        <f t="shared" ref="DZ7:DZ24" si="19">AB7*IF(B$13&lt;&gt;"-",IF(B7&lt;&gt;"-",(1+SQRT(DQ$13/DQ7)*((C7/C$13)^(1/4)))^2/SQRT(8*(1+(C$13/C7))),0),0)</f>
        <v>5.5257746264827708E-7</v>
      </c>
      <c r="EA7" s="98">
        <f t="shared" ref="EA7:EA24" si="20">AB7*IF(B$14&lt;&gt;"-",IF(B7&lt;&gt;"-",(1+SQRT(DQ$14/DQ7)*((C7/C$14)^(1/4)))^2/SQRT(8*(1+(C$14/C7))),0),0)</f>
        <v>0</v>
      </c>
      <c r="EB7" s="98">
        <f t="shared" ref="EB7:EB24" si="21">AB7*IF(B$15&lt;&gt;"-",IF(B7&lt;&gt;"-",(1+SQRT(DQ$15/DQ7)*((C7/C$15)^(1/4)))^2/SQRT(8*(1+(C$15/C7))),0),0)</f>
        <v>0</v>
      </c>
      <c r="EC7" s="98">
        <f t="shared" ref="EC7:EC24" si="22">AB7*IF(B$16&lt;&gt;"-",IF(B7&lt;&gt;"-",(1+SQRT(DQ$16/DQ7)*((C7/C$16)^(1/4)))^2/SQRT(8*(1+(C$16/C7))),0),0)</f>
        <v>0</v>
      </c>
      <c r="ED7" s="98">
        <f t="shared" ref="ED7:ED24" si="23">AB7*IF(B$17&lt;&gt;"-",IF(B7&lt;&gt;"-",(1+SQRT(DQ$17/DQ7)*((C7/C$17)^(1/4)))^2/SQRT(8*(1+(C$17/C7))),0),0)</f>
        <v>0</v>
      </c>
      <c r="EE7" s="98">
        <f t="shared" ref="EE7:EE24" si="24">AB7*IF(B$18&lt;&gt;"-",IF(B7&lt;&gt;"-",(1+SQRT(DQ$18/DQ7)*((C7/C$18)^(1/4)))^2/SQRT(8*(1+(C$18/C7))),0),0)</f>
        <v>0</v>
      </c>
      <c r="EF7" s="98">
        <f t="shared" ref="EF7:EF24" si="25">AB7*IF(B$19&lt;&gt;"-",IF(B7&lt;&gt;"-",(1+SQRT(DQ$19/DQ7)*((C7/C$19)^(1/4)))^2/SQRT(8*(1+(C$19/C7))),0),0)</f>
        <v>0</v>
      </c>
      <c r="EG7" s="98">
        <f t="shared" ref="EG7:EG24" si="26">AB7*IF(B$20&lt;&gt;"-",IF(B7&lt;&gt;"-",(1+SQRT(DQ$20/DQ7)*((C7/C$20)^(1/4)))^2/SQRT(8*(1+(C$20/C7))),0),0)</f>
        <v>0</v>
      </c>
      <c r="EH7" s="98">
        <f t="shared" ref="EH7:EH24" si="27">AB7*IF(B$21&lt;&gt;"-",IF(B7&lt;&gt;"-",(1+SQRT(DQ$21/DQ7)*((C7/C$21)^(1/4)))^2/SQRT(8*(1+(C$21/C7))),0),0)</f>
        <v>0</v>
      </c>
      <c r="EI7" s="98">
        <f t="shared" ref="EI7:EI24" si="28">AB7*IF(B$22&lt;&gt;"-",IF(B7&lt;&gt;"-",(1+SQRT(DQ$22/DQ7)*((C7/C$22)^(1/4)))^2/SQRT(8*(1+(C$22/C7))),0),0)</f>
        <v>0</v>
      </c>
      <c r="EJ7" s="98">
        <f t="shared" ref="EJ7:EJ24" si="29">AB7*IF(B$23&lt;&gt;"-",IF(B7&lt;&gt;"-",(1+SQRT(DQ$23/DQ7)*((C7/C$23)^(1/4)))^2/SQRT(8*(1+(C$23/C7))),0),0)</f>
        <v>0</v>
      </c>
      <c r="EK7" s="99">
        <f t="shared" ref="EK7:EK24" si="30">AB7*IF(B$24&lt;&gt;"-",IF(B7&lt;&gt;"-",(1+SQRT(DQ$24/DQ7)*((C7/C$24)^(1/4)))^2/SQRT(8*(1+(C$24/C7))),0),0)</f>
        <v>0</v>
      </c>
      <c r="EL7" s="98">
        <f t="shared" ref="EL7:EL24" si="31">AC7*IF(B$7&lt;&gt;"-",IF(B7&lt;&gt;"-",(1+SQRT(DR$7/DR7)*((C7/C$7)^(1/4)))^2/SQRT(8*(1+(C$7/C7))),0),0)</f>
        <v>1.015999999999999E-6</v>
      </c>
      <c r="EM7" s="98">
        <f t="shared" ref="EM7:EM24" si="32">AC7*IF(B$8&lt;&gt;"-",IF(B7&lt;&gt;"-",(1+SQRT(DR$8/DR7)*((C7/C$8)^(1/4)))^2/SQRT(8*(1+(C$8/C7))),0),0)</f>
        <v>7.6728604608045949E-7</v>
      </c>
      <c r="EN7" s="98">
        <f t="shared" ref="EN7:EN24" si="33">AC7*IF(B$9&lt;&gt;"-",IF(B7&lt;&gt;"-",(1+SQRT(DR$9/DR7)*((C7/C$9)^(1/4)))^2/SQRT(8*(1+(C$9/C7))),0),0)</f>
        <v>1.0835047603669412E-6</v>
      </c>
      <c r="EO7" s="98">
        <f t="shared" ref="EO7:EO24" si="34">AC7*IF(B$10&lt;&gt;"-",IF(B7&lt;&gt;"-",(1+SQRT(DR$10/DR7)*((C7/C$10)^(1/4)))^2/SQRT(8*(1+(C$10/C7))),0),0)</f>
        <v>1.1658418721159391E-6</v>
      </c>
      <c r="EP7" s="98">
        <f t="shared" ref="EP7:EP24" si="35">AC7*IF(B$11&lt;&gt;"-",IF(B7&lt;&gt;"-",(1+SQRT(DR$11/DR7)*((C7/C$11)^(1/4)))^2/SQRT(8*(1+(C$11/C7))),0),0)</f>
        <v>1.11177474489732E-6</v>
      </c>
      <c r="EQ7" s="98">
        <f t="shared" ref="EQ7:EQ24" si="36">AC7*IF(B$12&lt;&gt;"-",IF(B7&lt;&gt;"-",(1+SQRT(DR$12/DR7)*((C7/C$12)^(1/4)))^2/SQRT(8*(1+(C$12/C7))),0),0)</f>
        <v>1.1133677138312467E-6</v>
      </c>
      <c r="ER7" s="98">
        <f t="shared" ref="ER7:ER24" si="37">AC7*IF(B$13&lt;&gt;"-",IF(B7&lt;&gt;"-",(1+SQRT(DR$13/DR7)*((C7/C$13)^(1/4)))^2/SQRT(8*(1+(C$13/C7))),0),0)</f>
        <v>2.8497050997726833E-6</v>
      </c>
      <c r="ES7" s="98">
        <f t="shared" ref="ES7:ES24" si="38">AC7*IF(B$14&lt;&gt;"-",IF(B7&lt;&gt;"-",(1+SQRT(DR$14/DR7)*((C7/C$14)^(1/4)))^2/SQRT(8*(1+(C$14/C7))),0),0)</f>
        <v>0</v>
      </c>
      <c r="ET7" s="98">
        <f t="shared" ref="ET7:ET24" si="39">AC7*IF(B$15&lt;&gt;"-",IF(B7&lt;&gt;"-",(1+SQRT(DR$15/DR7)*((C7/C$15)^(1/4)))^2/SQRT(8*(1+(C$15/C7))),0),0)</f>
        <v>0</v>
      </c>
      <c r="EU7" s="98">
        <f t="shared" ref="EU7:EU24" si="40">AC7*IF(B$16&lt;&gt;"-",IF(B7&lt;&gt;"-",(1+SQRT(DR$16/DR7)*((C7/C$16)^(1/4)))^2/SQRT(8*(1+(C$16/C7))),0),0)</f>
        <v>0</v>
      </c>
      <c r="EV7" s="98">
        <f t="shared" ref="EV7:EV24" si="41">AC7*IF(B$17&lt;&gt;"-",IF(B7&lt;&gt;"-",(1+SQRT(DR$17/DR7)*((C7/C$17)^(1/4)))^2/SQRT(8*(1+(C$17/C7))),0),0)</f>
        <v>0</v>
      </c>
      <c r="EW7" s="98">
        <f t="shared" ref="EW7:EW24" si="42">AC7*IF(B$18&lt;&gt;"-",IF(B7&lt;&gt;"-",(1+SQRT(DR$18/DR7)*((C7/C$18)^(1/4)))^2/SQRT(8*(1+(C$18/C7))),0),0)</f>
        <v>0</v>
      </c>
      <c r="EX7" s="98">
        <f t="shared" ref="EX7:EX24" si="43">AC7*IF(B$19&lt;&gt;"-",IF(B7&lt;&gt;"-",(1+SQRT(DR$19/DR7)*((C7/C$19)^(1/4)))^2/SQRT(8*(1+(C$19/C7))),0),0)</f>
        <v>0</v>
      </c>
      <c r="EY7" s="98">
        <f t="shared" ref="EY7:EY24" si="44">AC7*IF(B$20&lt;&gt;"-",IF(B7&lt;&gt;"-",(1+SQRT(DR$20/DR7)*((C7/C$20)^(1/4)))^2/SQRT(8*(1+(C$20/C7))),0),0)</f>
        <v>0</v>
      </c>
      <c r="EZ7" s="98">
        <f t="shared" ref="EZ7:EZ24" si="45">AC7*IF(B$21&lt;&gt;"-",IF(B7&lt;&gt;"-",(1+SQRT(DR$21/DR7)*((C7/C$21)^(1/4)))^2/SQRT(8*(1+(C$21/C7))),0),0)</f>
        <v>0</v>
      </c>
      <c r="FA7" s="98">
        <f t="shared" ref="FA7:FA24" si="46">AC7*IF(B$22&lt;&gt;"-",IF(B7&lt;&gt;"-",(1+SQRT(DR$22/DR7)*((C7/C$22)^(1/4)))^2/SQRT(8*(1+(C$22/C7))),0),0)</f>
        <v>0</v>
      </c>
      <c r="FB7" s="98">
        <f t="shared" ref="FB7:FB24" si="47">AC7*IF(B$23&lt;&gt;"-",IF(B7&lt;&gt;"-",(1+SQRT(DR$23/DR7)*((C7/C$23)^(1/4)))^2/SQRT(8*(1+(C$23/C7))),0),0)</f>
        <v>0</v>
      </c>
      <c r="FC7" s="98">
        <f t="shared" ref="FC7:FC24" si="48">AC7*IF(B$24&lt;&gt;"-",IF(B7&lt;&gt;"-",(1+SQRT(DR$24/DR7)*((C7/C$24)^(1/4)))^2/SQRT(8*(1+(C$24/C7))),0),0)</f>
        <v>0</v>
      </c>
      <c r="FD7" s="100" t="e">
        <f t="shared" ref="FD7:FD24" si="49">AD7*IF(B$7&lt;&gt;"-",IF(B7&lt;&gt;"-",(1+SQRT(DS$7/DS7)*((C7/C$7)^(1/4)))^2/SQRT(8*(1+(C$7/C7))),0),0)</f>
        <v>#DIV/0!</v>
      </c>
      <c r="FE7" s="98" t="e">
        <f t="shared" ref="FE7:FE24" si="50">AD7*IF(B$8&lt;&gt;"-",IF(B7&lt;&gt;"-",(1+SQRT(DS$8/DS7)*((C7/C$8)^(1/4)))^2/SQRT(8*(1+(C$8/C7))),0),0)</f>
        <v>#DIV/0!</v>
      </c>
      <c r="FF7" s="98" t="e">
        <f t="shared" ref="FF7:FF24" si="51">AD7*IF(B$9&lt;&gt;"-",IF(B7&lt;&gt;"-",(1+SQRT(DS$9/DS7)*((C7/C$9)^(1/4)))^2/SQRT(8*(1+(C$9/C7))),0),0)</f>
        <v>#DIV/0!</v>
      </c>
      <c r="FG7" s="98" t="e">
        <f t="shared" ref="FG7:FG24" si="52">AD7*IF(B$10&lt;&gt;"-",IF(B7&lt;&gt;"-",(1+SQRT(DS$10/DS7)*((C7/C$10)^(1/4)))^2/SQRT(8*(1+(C$10/C7))),0),0)</f>
        <v>#DIV/0!</v>
      </c>
      <c r="FH7" s="98" t="e">
        <f t="shared" ref="FH7:FH24" si="53">AD7*IF(B$11&lt;&gt;"-",IF(B7&lt;&gt;"-",(1+SQRT(DS$11/DS7)*((C7/C$11)^(1/4)))^2/SQRT(8*(1+(C$11/C7))),0),0)</f>
        <v>#DIV/0!</v>
      </c>
      <c r="FI7" s="98" t="e">
        <f t="shared" ref="FI7:FI24" si="54">AD7*IF(B$12&lt;&gt;"-",IF(B7&lt;&gt;"-",(1+SQRT(DS$12/DS7)*((C7/C$12)^(1/4)))^2/SQRT(8*(1+(C$12/C7))),0),0)</f>
        <v>#DIV/0!</v>
      </c>
      <c r="FJ7" s="98" t="e">
        <f t="shared" ref="FJ7:FJ24" si="55">AD7*IF(B$13&lt;&gt;"-",IF(B7&lt;&gt;"-",(1+SQRT(DS$13/DS7)*((C7/C$13)^(1/4)))^2/SQRT(8*(1+(C$13/C7))),0),0)</f>
        <v>#DIV/0!</v>
      </c>
      <c r="FK7" s="98" t="e">
        <f t="shared" ref="FK7:FK24" si="56">AD7*IF(B$14&lt;&gt;"-",IF(B7&lt;&gt;"-",(1+SQRT(DS$14/DS7)*((C7/C$14)^(1/4)))^2/SQRT(8*(1+(C$14/C7))),0),0)</f>
        <v>#DIV/0!</v>
      </c>
      <c r="FL7" s="98" t="e">
        <f t="shared" ref="FL7:FL24" si="57">AD7*IF(B$15&lt;&gt;"-",IF(B7&lt;&gt;"-",(1+SQRT(DS$15/DS7)*((C7/C$15)^(1/4)))^2/SQRT(8*(1+(C$15/C7))),0),0)</f>
        <v>#DIV/0!</v>
      </c>
      <c r="FM7" s="98" t="e">
        <f t="shared" ref="FM7:FM24" si="58">AD7*IF(B$16&lt;&gt;"-",IF(B7&lt;&gt;"-",(1+SQRT(DS$16/DS7)*((C7/C$16)^(1/4)))^2/SQRT(8*(1+(C$16/C7))),0),0)</f>
        <v>#DIV/0!</v>
      </c>
      <c r="FN7" s="98" t="e">
        <f t="shared" ref="FN7:FN24" si="59">AD7*IF(B$17&lt;&gt;"-",IF(B7&lt;&gt;"-",(1+SQRT(DS$17/DS7)*((C7/C$17)^(1/4)))^2/SQRT(8*(1+(C$17/C7))),0),0)</f>
        <v>#DIV/0!</v>
      </c>
      <c r="FO7" s="98" t="e">
        <f t="shared" ref="FO7:FO24" si="60">AD7*IF(B$18&lt;&gt;"-",IF(B7&lt;&gt;"-",(1+SQRT(DS$18/DS7)*((C7/C$18)^(1/4)))^2/SQRT(8*(1+(C$18/C7))),0),0)</f>
        <v>#DIV/0!</v>
      </c>
      <c r="FP7" s="98" t="e">
        <f t="shared" ref="FP7:FP24" si="61">AD7*IF(B$19&lt;&gt;"-",IF(B7&lt;&gt;"-",(1+SQRT(DS$19/DS7)*((C7/C$19)^(1/4)))^2/SQRT(8*(1+(C$19/C7))),0),0)</f>
        <v>#DIV/0!</v>
      </c>
      <c r="FQ7" s="98" t="e">
        <f t="shared" ref="FQ7:FQ24" si="62">AD7*IF(B$20&lt;&gt;"-",IF(B7&lt;&gt;"-",(1+SQRT(DS$20/DS7)*((C7/C$20)^(1/4)))^2/SQRT(8*(1+(C$20/C7))),0),0)</f>
        <v>#DIV/0!</v>
      </c>
      <c r="FR7" s="98" t="e">
        <f t="shared" ref="FR7:FR24" si="63">AD7*IF(B$21&lt;&gt;"-",IF(B7&lt;&gt;"-",(1+SQRT(DS$21/DS7)*((C7/C$21)^(1/4)))^2/SQRT(8*(1+(C$21/C7))),0),0)</f>
        <v>#DIV/0!</v>
      </c>
      <c r="FS7" s="98" t="e">
        <f t="shared" ref="FS7:FS24" si="64">AD7*IF(B$22&lt;&gt;"-",IF(B7&lt;&gt;"-",(1+SQRT(DS$22/DS7)*((C7/C$22)^(1/4)))^2/SQRT(8*(1+(C$22/C7))),0),0)</f>
        <v>#DIV/0!</v>
      </c>
      <c r="FT7" s="98" t="e">
        <f t="shared" ref="FT7:FT24" si="65">AD7*IF(B$23&lt;&gt;"-",IF(B7&lt;&gt;"-",(1+SQRT(DS$23/DS7)*((C7/C$23)^(1/4)))^2/SQRT(8*(1+(C$23/C7))),0),0)</f>
        <v>#DIV/0!</v>
      </c>
      <c r="FU7" s="98" t="e">
        <f t="shared" ref="FU7:FU24" si="66">AD7*IF(B$24&lt;&gt;"-",IF(B7&lt;&gt;"-",(1+SQRT(DS$24/DS7)*((C7/C$24)^(1/4)))^2/SQRT(8*(1+(C$24/C7))),0),0)</f>
        <v>#DIV/0!</v>
      </c>
      <c r="FV7" s="101">
        <f>IF(B7='Process DB'!$D$27,IF(AB7&gt;$FX$4,1,0),0)</f>
        <v>0</v>
      </c>
      <c r="FW7" s="50">
        <f>IF(B7='Process DB'!$D$27,IF(AC7&gt;$FX$4,1,0),0)</f>
        <v>0</v>
      </c>
      <c r="FX7" s="50">
        <f>IF(B7='Process DB'!$D$27,IF(AD7&gt;$FX$4,1,0),0)</f>
        <v>0</v>
      </c>
      <c r="FY7" s="101">
        <f>IF(AB7&gt;$GA$4,1,0)</f>
        <v>0</v>
      </c>
      <c r="FZ7" s="102">
        <f>IF(AC7&gt;$GA$4,1,0)</f>
        <v>0</v>
      </c>
      <c r="GA7" s="102" t="e">
        <f>IF(AD7&gt;$GA$4,1,0)</f>
        <v>#DIV/0!</v>
      </c>
      <c r="GB7" s="101">
        <f>IF(AB7&gt;$GD$3,1,0)</f>
        <v>0</v>
      </c>
      <c r="GC7" s="102">
        <f>IF(AC7&gt;$GD$3,1,0)</f>
        <v>0</v>
      </c>
      <c r="GD7" s="102" t="e">
        <f>IF(AD7&gt;$GD$3,1,0)</f>
        <v>#DIV/0!</v>
      </c>
      <c r="GE7" s="103">
        <f t="shared" ref="GE7:GF24" si="67">AB7*($M7*(AF$4-$GF$4)+$N7*(AF$4^2-$GF$4^2)/2+$O7*(AF$4^3-$GF$4^3)/3+$P7*(AF$4^4-$GF$4^4)/4)</f>
        <v>-2.6166068073177374E-5</v>
      </c>
      <c r="GF7" s="104">
        <f t="shared" si="67"/>
        <v>-7.5808849845032742E-4</v>
      </c>
    </row>
    <row r="8" spans="1:189" ht="15" customHeight="1">
      <c r="B8" s="19" t="str">
        <f>VLOOKUP('Process DS'!$D7,'Process DB'!$C$7:$AA$41,B$4)</f>
        <v>CO2</v>
      </c>
      <c r="C8" s="17">
        <f>VLOOKUP('Process DS'!$D7,'Process DB'!$C$7:$AA$41,C$4)</f>
        <v>44.009500000000003</v>
      </c>
      <c r="D8" s="18">
        <f>VLOOKUP('Process DS'!$D7,'Process DB'!$C$7:$AA$41,D$4)</f>
        <v>0</v>
      </c>
      <c r="E8" s="19">
        <f>VLOOKUP('Process DS'!$D7,'Process DB'!$C$7:$AA$41,E$4)</f>
        <v>0</v>
      </c>
      <c r="F8" s="19">
        <f>VLOOKUP('Process DS'!$D7,'Process DB'!$C$7:$AA$41,F$4)</f>
        <v>0</v>
      </c>
      <c r="G8" s="20">
        <f>VLOOKUP('Process DS'!$D7,'Process DB'!$C$7:$AA$41,G$4)</f>
        <v>304.10000000000002</v>
      </c>
      <c r="H8" s="20">
        <f>VLOOKUP('Process DS'!$D7,'Process DB'!$C$7:$AA$41,H$4)</f>
        <v>73.8</v>
      </c>
      <c r="I8" s="21">
        <f>VLOOKUP('Process DS'!$D7,'Process DB'!$C$7:$AA$41,I$4)</f>
        <v>93.9</v>
      </c>
      <c r="J8" s="14">
        <f>VLOOKUP('Process DS'!$D7,'Process DB'!$C$7:$AA$41,J$4)</f>
        <v>0.27400000000000002</v>
      </c>
      <c r="K8" s="14">
        <f>VLOOKUP('Process DS'!$D7,'Process DB'!$C$7:$AA$41,K$4)</f>
        <v>0.23899999999999999</v>
      </c>
      <c r="L8" s="21">
        <f>VLOOKUP('Process DS'!$D7,'Process DB'!$C$7:$AA$41,L$4)</f>
        <v>0</v>
      </c>
      <c r="M8" s="14">
        <f>VLOOKUP('Process DS'!$D7,'Process DB'!$C$7:$AA$41,M$4)</f>
        <v>19.8</v>
      </c>
      <c r="N8" s="15">
        <f>VLOOKUP('Process DS'!$D7,'Process DB'!$C$7:$AA$41,N$4)</f>
        <v>7.3440000000000005E-2</v>
      </c>
      <c r="O8" s="15">
        <f>VLOOKUP('Process DS'!$D7,'Process DB'!$C$7:$AA$41,O$4)</f>
        <v>-5.6020000000000002E-5</v>
      </c>
      <c r="P8" s="15">
        <f>VLOOKUP('Process DS'!$D7,'Process DB'!$C$7:$AA$41,P$4)</f>
        <v>1.7150000000000001E-8</v>
      </c>
      <c r="Q8" s="15">
        <f>VLOOKUP('Process DS'!$D7,'Process DB'!$C$7:$AA$41,Q$4)</f>
        <v>-7.2150000000000001E-3</v>
      </c>
      <c r="R8" s="15">
        <f>VLOOKUP('Process DS'!$D7,'Process DB'!$C$7:$AA$41,R$4)</f>
        <v>8.0149999999999997E-5</v>
      </c>
      <c r="S8" s="15">
        <f>VLOOKUP('Process DS'!$D7,'Process DB'!$C$7:$AA$41,S$4)</f>
        <v>5.477E-9</v>
      </c>
      <c r="T8" s="15">
        <f>VLOOKUP('Process DS'!$D7,'Process DB'!$C$7:$AA$41,T$4)</f>
        <v>-1.053E-11</v>
      </c>
      <c r="U8" s="17">
        <f>VLOOKUP('Process DS'!$D7,'Process DB'!$C$7:$AA$41,U$4)</f>
        <v>0</v>
      </c>
      <c r="V8" s="12">
        <f>VLOOKUP('Process DS'!$D7,'Process DB'!$C$7:$AA$41,V$4)</f>
        <v>0</v>
      </c>
      <c r="W8" s="15">
        <f>VLOOKUP('Process DS'!$D7,'Process DB'!$C$7:$AA$41,W$4)</f>
        <v>-393522</v>
      </c>
      <c r="X8" s="15">
        <f>VLOOKUP('Process DS'!$D7,'Process DB'!$C$7:$AA$41,X$4)</f>
        <v>0</v>
      </c>
      <c r="Y8" s="15">
        <f>VLOOKUP('Process DS'!$D7,'Process DB'!$C$7:$AA$41,Y$4)</f>
        <v>0</v>
      </c>
      <c r="Z8" s="17"/>
      <c r="AB8" s="76">
        <f t="shared" si="1"/>
        <v>1.0000000000000001E-7</v>
      </c>
      <c r="AC8" s="77">
        <f t="shared" ref="AC8:AC24" si="68">I102/100</f>
        <v>0.99950000000000006</v>
      </c>
      <c r="AD8" s="76" t="e">
        <f t="shared" ref="AD8:AD24" si="69">L204/100</f>
        <v>#DIV/0!</v>
      </c>
      <c r="AF8" s="78">
        <f t="shared" si="2"/>
        <v>4.4009500000000006E-6</v>
      </c>
      <c r="AG8" s="78">
        <f t="shared" si="2"/>
        <v>43.987495250000002</v>
      </c>
      <c r="AH8" s="79" t="e">
        <f t="shared" si="2"/>
        <v>#DIV/0!</v>
      </c>
      <c r="AI8" s="80">
        <f t="shared" ref="AI8:AK24" si="70">AB8*$D8</f>
        <v>0</v>
      </c>
      <c r="AJ8" s="80">
        <f t="shared" si="70"/>
        <v>0</v>
      </c>
      <c r="AK8" s="81" t="e">
        <f t="shared" si="70"/>
        <v>#DIV/0!</v>
      </c>
      <c r="AL8" s="105">
        <f t="shared" ref="AL8:AN24" si="71">AB8*$V8</f>
        <v>0</v>
      </c>
      <c r="AM8" s="82">
        <f t="shared" si="71"/>
        <v>0</v>
      </c>
      <c r="AN8" s="81" t="e">
        <f t="shared" si="71"/>
        <v>#DIV/0!</v>
      </c>
      <c r="AO8" s="84">
        <f t="shared" ref="AO8:AO24" si="72">AB8*$E8</f>
        <v>0</v>
      </c>
      <c r="AP8" s="84">
        <f t="shared" ref="AP8:AP24" si="73">I38*$E8</f>
        <v>0</v>
      </c>
      <c r="AQ8" s="84">
        <f t="shared" ref="AQ8:AQ24" si="74">AC8*$E8</f>
        <v>0</v>
      </c>
      <c r="AR8" s="84">
        <f t="shared" ref="AR8:AR24" si="75">J102*$E8</f>
        <v>0</v>
      </c>
      <c r="AS8" s="84" t="e">
        <f t="shared" ref="AS8:AS24" si="76">AD8*$E8</f>
        <v>#DIV/0!</v>
      </c>
      <c r="AT8" s="85" t="e">
        <f t="shared" ref="AT8:AT24" si="77">M204*$E8</f>
        <v>#DIV/0!</v>
      </c>
      <c r="AU8" s="83">
        <f t="shared" ref="AU8:AU24" si="78">AB8*$F8</f>
        <v>0</v>
      </c>
      <c r="AV8" s="83">
        <f t="shared" ref="AV8:AV24" si="79">I38*$F8</f>
        <v>0</v>
      </c>
      <c r="AW8" s="83">
        <f t="shared" si="3"/>
        <v>0</v>
      </c>
      <c r="AX8" s="83">
        <f t="shared" ref="AX8:AX24" si="80">J102*$F8</f>
        <v>0</v>
      </c>
      <c r="AY8" s="84" t="e">
        <f t="shared" ref="AY8:AY24" si="81">AD8*$F8</f>
        <v>#DIV/0!</v>
      </c>
      <c r="AZ8" s="86" t="e">
        <f t="shared" ref="AZ8:AZ24" si="82">M204*$F8</f>
        <v>#DIV/0!</v>
      </c>
      <c r="BA8" s="87">
        <f t="shared" si="4"/>
        <v>3.6996767706109904E-6</v>
      </c>
      <c r="BB8" s="87">
        <f t="shared" si="4"/>
        <v>36.14119837459927</v>
      </c>
      <c r="BC8" s="88" t="e">
        <f t="shared" si="4"/>
        <v>#DIV/0!</v>
      </c>
      <c r="BD8" s="89">
        <f t="shared" si="5"/>
        <v>1.6575975404775359E-2</v>
      </c>
      <c r="BE8" s="89">
        <f t="shared" si="5"/>
        <v>1.5096393984513925E-2</v>
      </c>
      <c r="BF8" s="90">
        <f t="shared" si="5"/>
        <v>1.5096393984513925E-2</v>
      </c>
      <c r="BG8" s="91">
        <f t="shared" ref="BG8:BG24" si="83">AB8*IF(B$7&lt;&gt;"-",IF(B8&lt;&gt;"-",(1+SQRT(BD$7/BD8)*((C8/C$7)^(1/4)))^2/SQRT(8*(1+(C$7/C8))),0),0)</f>
        <v>1.5611613449796125E-7</v>
      </c>
      <c r="BH8" s="91">
        <f t="shared" ref="BH8:BH24" si="84">AB8*IF(B$8&lt;&gt;"-",IF(B8&lt;&gt;"-",(1+SQRT(BD$8/BD8)*((C8/C$8)^(1/4)))^2/SQRT(8*(1+(C$8/C8))),0),0)</f>
        <v>1.0000000000000001E-7</v>
      </c>
      <c r="BI8" s="91">
        <f t="shared" ref="BI8:BI24" si="85">AB8*IF(B$9&lt;&gt;"-",IF(B8&lt;&gt;"-",(1+SQRT(BD$9/BD8)*((C8/C$9)^(1/4)))^2/SQRT(8*(1+(C$9/C8))),0),0)</f>
        <v>1.5413573167281598E-7</v>
      </c>
      <c r="BJ8" s="91">
        <f t="shared" ref="BJ8:BJ24" si="86">AB8*IF(B$10&lt;&gt;"-",IF(B8&lt;&gt;"-",(1+SQRT(BD$10/BD8)*((C8/C$10)^(1/4)))^2/SQRT(8*(1+(C$10/C8))),0),0)</f>
        <v>2.4045453175357132E-7</v>
      </c>
      <c r="BK8" s="91">
        <f t="shared" ref="BK8:BK24" si="87">AB8*IF(B$11&lt;&gt;"-",IF(B8&lt;&gt;"-",(1+SQRT(BD$11/BD8)*((C8/C$11)^(1/4)))^2/SQRT(8*(1+(C$11/C8))),0),0)</f>
        <v>1.5686121251412144E-7</v>
      </c>
      <c r="BL8" s="91">
        <f t="shared" ref="BL8:BL24" si="88">AB8*IF(B$12&lt;&gt;"-",IF(B8&lt;&gt;"-",(1+SQRT(BD$12/BD8)*((C8/C$12)^(1/4)))^2/SQRT(8*(1+(C$12/C8))),0),0)</f>
        <v>1.4938509135837807E-7</v>
      </c>
      <c r="BM8" s="91">
        <f t="shared" ref="BM8:BM24" si="89">AB8*IF(B$13&lt;&gt;"-",IF(B8&lt;&gt;"-",(1+SQRT(BD$13/BD8)*((C8/C$13)^(1/4)))^2/SQRT(8*(1+(C$13/C8))),0),0)</f>
        <v>1.385932244370376E-6</v>
      </c>
      <c r="BN8" s="91">
        <f t="shared" ref="BN8:BN24" si="90">AB8*IF(B$14&lt;&gt;"-",IF(B8&lt;&gt;"-",(1+SQRT(BD$14/BD8)*((C8/C$14)^(1/4)))^2/SQRT(8*(1+(C$14/C8))),0),0)</f>
        <v>0</v>
      </c>
      <c r="BO8" s="91">
        <f t="shared" ref="BO8:BO24" si="91">AB8*IF(B$15&lt;&gt;"-",IF(B8&lt;&gt;"-",(1+SQRT(BD$15/BD8)*((C8/C$15)^(1/4)))^2/SQRT(8*(1+(C$15/C8))),0),0)</f>
        <v>0</v>
      </c>
      <c r="BP8" s="91">
        <f t="shared" ref="BP8:BP24" si="92">AB8*IF(B$16&lt;&gt;"-",IF(B8&lt;&gt;"-",(1+SQRT(BD$16/BD8)*((C8/C$16)^(1/4)))^2/SQRT(8*(1+(C$16/C8))),0),0)</f>
        <v>0</v>
      </c>
      <c r="BQ8" s="91">
        <f t="shared" ref="BQ8:BQ24" si="93">AB8*IF(B$17&lt;&gt;"-",IF(B8&lt;&gt;"-",(1+SQRT(BD$17/BD8)*((C8/C$17)^(1/4)))^2/SQRT(8*(1+(C$17/C8))),0),0)</f>
        <v>0</v>
      </c>
      <c r="BR8" s="91">
        <f t="shared" ref="BR8:BR24" si="94">AB8*IF(B$18&lt;&gt;"-",IF(B8&lt;&gt;"-",(1+SQRT(BD$18/BD8)*((C8/C$18)^(1/4)))^2/SQRT(8*(1+(C$18/C8))),0),0)</f>
        <v>0</v>
      </c>
      <c r="BS8" s="91">
        <f t="shared" ref="BS8:BS24" si="95">AB8*IF(B$19&lt;&gt;"-",IF(B8&lt;&gt;"-",(1+SQRT(BD$19/BD8)*((C8/C$19)^(1/4)))^2/SQRT(8*(1+(C$19/C8))),0),0)</f>
        <v>0</v>
      </c>
      <c r="BT8" s="91">
        <f t="shared" ref="BT8:BT24" si="96">AB8*IF(B$20&lt;&gt;"-",IF(B8&lt;&gt;"-",(1+SQRT(BD$20/BD8)*((C8/C$20)^(1/4)))^2/SQRT(8*(1+(C$20/C8))),0),0)</f>
        <v>0</v>
      </c>
      <c r="BU8" s="91">
        <f t="shared" ref="BU8:BU24" si="97">AB8*IF(B$21&lt;&gt;"-",IF(B8&lt;&gt;"-",(1+SQRT(BD$21/BD8)*((C8/C$21)^(1/4)))^2/SQRT(8*(1+(C$21/C8))),0),0)</f>
        <v>0</v>
      </c>
      <c r="BV8" s="91">
        <f t="shared" ref="BV8:BV24" si="98">AB8*IF(B$22&lt;&gt;"-",IF(B8&lt;&gt;"-",(1+SQRT(BD$22/BD8)*((C8/C$22)^(1/4)))^2/SQRT(8*(1+(C$22/C8))),0),0)</f>
        <v>0</v>
      </c>
      <c r="BW8" s="91">
        <f t="shared" ref="BW8:BW24" si="99">AB8*IF(B$23&lt;&gt;"-",IF(B8&lt;&gt;"-",(1+SQRT(BD$23/BD8)*((C8/C$23)^(1/4)))^2/SQRT(8*(1+(C$23/C8))),0),0)</f>
        <v>0</v>
      </c>
      <c r="BX8" s="90">
        <f t="shared" ref="BX8:BX24" si="100">AB8*IF(B$24&lt;&gt;"-",IF(B8&lt;&gt;"-",(1+SQRT(BD$24/BD8)*((C8/C$24)^(1/4)))^2/SQRT(8*(1+(C$24/C8))),0),0)</f>
        <v>0</v>
      </c>
      <c r="BY8" s="91">
        <f t="shared" ref="BY8:BY24" si="101">AC8*IF(B$7&lt;&gt;"-",IF(B8&lt;&gt;"-",(1+SQRT(BE$7/BE8)*((C8/C$7)^(1/4)))^2/SQRT(8*(1+(C$7/C8))),0),0)</f>
        <v>1.5759020201537901</v>
      </c>
      <c r="BZ8" s="91">
        <f t="shared" ref="BZ8:BZ24" si="102">AC8*IF(B$8&lt;&gt;"-",IF(B8&lt;&gt;"-",(1+SQRT(BE$8/BE8)*((C8/C$8)^(1/4)))^2/SQRT(8*(1+(C$8/C8))),0),0)</f>
        <v>0.99950000000000006</v>
      </c>
      <c r="CA8" s="91">
        <f t="shared" ref="CA8:CA24" si="103">AC8*IF(B$9&lt;&gt;"-",IF(B8&lt;&gt;"-",(1+SQRT(BE$9/BE8)*((C8/C$9)^(1/4)))^2/SQRT(8*(1+(C$9/C8))),0),0)</f>
        <v>1.5741521071398135</v>
      </c>
      <c r="CB8" s="91">
        <f t="shared" ref="CB8:CB24" si="104">AC8*IF(B$10&lt;&gt;"-",IF(B8&lt;&gt;"-",(1+SQRT(BE$10/BE8)*((C8/C$10)^(1/4)))^2/SQRT(8*(1+(C$10/C8))),0),0)</f>
        <v>2.417922510925913</v>
      </c>
      <c r="CC8" s="91">
        <f t="shared" ref="CC8:CC24" si="105">AC8*IF(B$11&lt;&gt;"-",IF(B8&lt;&gt;"-",(1+SQRT(BE$11/BE8)*((C8/C$11)^(1/4)))^2/SQRT(8*(1+(C$11/C8))),0),0)</f>
        <v>1.6039883093250742</v>
      </c>
      <c r="CD8" s="91">
        <f t="shared" ref="CD8:CD24" si="106">AC8*IF(B$12&lt;&gt;"-",IF(B8&lt;&gt;"-",(1+SQRT(BE$12/BE8)*((C8/C$12)^(1/4)))^2/SQRT(8*(1+(C$12/C8))),0),0)</f>
        <v>1.5235434630308786</v>
      </c>
      <c r="CE8" s="91">
        <f t="shared" ref="CE8:CE24" si="107">AC8*IF(B$13&lt;&gt;"-",IF(B8&lt;&gt;"-",(1+SQRT(BE$13/BE8)*((C8/C$13)^(1/4)))^2/SQRT(8*(1+(C$13/C8))),0),0)</f>
        <v>14.431812002313075</v>
      </c>
      <c r="CF8" s="91">
        <f t="shared" ref="CF8:CF24" si="108">AC8*IF(B$14&lt;&gt;"-",IF(B8&lt;&gt;"-",(1+SQRT(BE$14/BE8)*((C8/C$14)^(1/4)))^2/SQRT(8*(1+(C$14/C8))),0),0)</f>
        <v>0</v>
      </c>
      <c r="CG8" s="91">
        <f t="shared" ref="CG8:CG24" si="109">AC8*IF(B$15&lt;&gt;"-",IF(B8&lt;&gt;"-",(1+SQRT(BE$15/BE8)*((C8/C$15)^(1/4)))^2/SQRT(8*(1+(C$15/C8))),0),0)</f>
        <v>0</v>
      </c>
      <c r="CH8" s="91">
        <f t="shared" ref="CH8:CH24" si="110">AC8*IF(B$16&lt;&gt;"-",IF(B8&lt;&gt;"-",(1+SQRT(BE$16/BE8)*((C8/C$16)^(1/4)))^2/SQRT(8*(1+(C$16/C8))),0),0)</f>
        <v>0</v>
      </c>
      <c r="CI8" s="91">
        <f t="shared" ref="CI8:CI24" si="111">AC8*IF(B$17&lt;&gt;"-",IF(B8&lt;&gt;"-",(1+SQRT(BE$17/BE8)*((C8/C$17)^(1/4)))^2/SQRT(8*(1+(C$17/C8))),0),0)</f>
        <v>0</v>
      </c>
      <c r="CJ8" s="91">
        <f t="shared" ref="CJ8:CJ24" si="112">AC8*IF(B$18&lt;&gt;"-",IF(B8&lt;&gt;"-",(1+SQRT(BE$18/BE8)*((C8/C$18)^(1/4)))^2/SQRT(8*(1+(C$18/C8))),0),0)</f>
        <v>0</v>
      </c>
      <c r="CK8" s="91">
        <f t="shared" ref="CK8:CK24" si="113">AC8*IF(B$19&lt;&gt;"-",IF(B8&lt;&gt;"-",(1+SQRT(BE$19/BE8)*((C8/C$19)^(1/4)))^2/SQRT(8*(1+(C$19/C8))),0),0)</f>
        <v>0</v>
      </c>
      <c r="CL8" s="91">
        <f t="shared" ref="CL8:CL24" si="114">AC8*IF(B$20&lt;&gt;"-",IF(B8&lt;&gt;"-",(1+SQRT(BE$20/BE8)*((C8/C$20)^(1/4)))^2/SQRT(8*(1+(C$20/C8))),0),0)</f>
        <v>0</v>
      </c>
      <c r="CM8" s="91">
        <f t="shared" ref="CM8:CM24" si="115">AC8*IF(B$21&lt;&gt;"-",IF(B8&lt;&gt;"-",(1+SQRT(BE$21/BE8)*((C8/C$21)^(1/4)))^2/SQRT(8*(1+(C$21/C8))),0),0)</f>
        <v>0</v>
      </c>
      <c r="CN8" s="91">
        <f t="shared" ref="CN8:CN24" si="116">AC8*IF(B$22&lt;&gt;"-",IF(B8&lt;&gt;"-",(1+SQRT(BE$22/BE8)*((C8/C$22)^(1/4)))^2/SQRT(8*(1+(C$22/C8))),0),0)</f>
        <v>0</v>
      </c>
      <c r="CO8" s="91">
        <f t="shared" ref="CO8:CO24" si="117">AC8*IF(B$23&lt;&gt;"-",IF(B8&lt;&gt;"-",(1+SQRT(BE$23/BE8)*((C8/C$23)^(1/4)))^2/SQRT(8*(1+(C$23/C8))),0),0)</f>
        <v>0</v>
      </c>
      <c r="CP8" s="90">
        <f t="shared" ref="CP8:CP24" si="118">AC8*IF(B$24&lt;&gt;"-",IF(B8&lt;&gt;"-",(1+SQRT(BE$24/BE8)*((C8/C$24)^(1/4)))^2/SQRT(8*(1+(C$24/C8))),0),0)</f>
        <v>0</v>
      </c>
      <c r="CQ8" s="106" t="e">
        <f t="shared" ref="CQ8:CQ24" si="119">AD8*IF(B$7&lt;&gt;"-",IF(B8&lt;&gt;"-",(1+SQRT(BF$7/BF8)*((C8/C$7)^(1/4)))^2/SQRT(8*(1+(C$7/C8))),0),0)</f>
        <v>#DIV/0!</v>
      </c>
      <c r="CR8" s="91" t="e">
        <f t="shared" ref="CR8:CR24" si="120">AD8*IF(B$8&lt;&gt;"-",IF(B8&lt;&gt;"-",(1+SQRT(BF$8/BF8)*((C8/C$8)^(1/4)))^2/SQRT(8*(1+(C$8/C8))),0),0)</f>
        <v>#DIV/0!</v>
      </c>
      <c r="CS8" s="91" t="e">
        <f t="shared" ref="CS8:CS24" si="121">AD8*IF(B$9&lt;&gt;"-",IF(B8&lt;&gt;"-",(1+SQRT(BF$9/BF8)*((C8/C$9)^(1/4)))^2/SQRT(8*(1+(C$9/C8))),0),0)</f>
        <v>#DIV/0!</v>
      </c>
      <c r="CT8" s="91" t="e">
        <f t="shared" ref="CT8:CT24" si="122">AD8*IF(B$10&lt;&gt;"-",IF(B8&lt;&gt;"-",(1+SQRT(BF$10/BF8)*((C8/C$10)^(1/4)))^2/SQRT(8*(1+(C$10/C8))),0),0)</f>
        <v>#DIV/0!</v>
      </c>
      <c r="CU8" s="91" t="e">
        <f t="shared" ref="CU8:CU24" si="123">AD8*IF(B$11&lt;&gt;"-",IF(B8&lt;&gt;"-",(1+SQRT(BF$11/BF8)*((C8/C$11)^(1/4)))^2/SQRT(8*(1+(C$11/C8))),0),0)</f>
        <v>#DIV/0!</v>
      </c>
      <c r="CV8" s="91" t="e">
        <f t="shared" ref="CV8:CV24" si="124">AD8*IF(B$12&lt;&gt;"-",IF(B8&lt;&gt;"-",(1+SQRT(BF$12/BF8)*((C8/C$12)^(1/4)))^2/SQRT(8*(1+(C$12/C8))),0),0)</f>
        <v>#DIV/0!</v>
      </c>
      <c r="CW8" s="91" t="e">
        <f t="shared" ref="CW8:CW24" si="125">AD8*IF(B$13&lt;&gt;"-",IF(B8&lt;&gt;"-",(1+SQRT(BF$13/BF8)*((C8/C$13)^(1/4)))^2/SQRT(8*(1+(C$13/C8))),0),0)</f>
        <v>#DIV/0!</v>
      </c>
      <c r="CX8" s="91" t="e">
        <f t="shared" ref="CX8:CX24" si="126">AD8*IF(B$14&lt;&gt;"-",IF(B8&lt;&gt;"-",(1+SQRT(BF$14/BF8)*((C8/C$14)^(1/4)))^2/SQRT(8*(1+(C$14/C8))),0),0)</f>
        <v>#DIV/0!</v>
      </c>
      <c r="CY8" s="91" t="e">
        <f t="shared" ref="CY8:CY24" si="127">AD8*IF(B$15&lt;&gt;"-",IF(B8&lt;&gt;"-",(1+SQRT(BF$15/BF8)*((C8/C$15)^(1/4)))^2/SQRT(8*(1+(C$15/C8))),0),0)</f>
        <v>#DIV/0!</v>
      </c>
      <c r="CZ8" s="91" t="e">
        <f t="shared" ref="CZ8:CZ24" si="128">AD8*IF(B$16&lt;&gt;"-",IF(B8&lt;&gt;"-",(1+SQRT(BF$16/BF8)*((C8/C$16)^(1/4)))^2/SQRT(8*(1+(C$16/C8))),0),0)</f>
        <v>#DIV/0!</v>
      </c>
      <c r="DA8" s="91" t="e">
        <f t="shared" ref="DA8:DA24" si="129">AD8*IF(B$17&lt;&gt;"-",IF(B8&lt;&gt;"-",(1+SQRT(BF$17/BF8)*((C8/C$17)^(1/4)))^2/SQRT(8*(1+(C$17/C8))),0),0)</f>
        <v>#DIV/0!</v>
      </c>
      <c r="DB8" s="91" t="e">
        <f t="shared" ref="DB8:DB24" si="130">AD8*IF(B$18&lt;&gt;"-",IF(B8&lt;&gt;"-",(1+SQRT(BF$18/BF8)*((C8/C$18)^(1/4)))^2/SQRT(8*(1+(C$18/C8))),0),0)</f>
        <v>#DIV/0!</v>
      </c>
      <c r="DC8" s="91" t="e">
        <f t="shared" ref="DC8:DC24" si="131">AD8*IF(B$19&lt;&gt;"-",IF(B8&lt;&gt;"-",(1+SQRT(BF$19/BF8)*((C8/C$19)^(1/4)))^2/SQRT(8*(1+(C$19/C8))),0),0)</f>
        <v>#DIV/0!</v>
      </c>
      <c r="DD8" s="91" t="e">
        <f t="shared" ref="DD8:DD24" si="132">AD8*IF(B$20&lt;&gt;"-",IF(B8&lt;&gt;"-",(1+SQRT(BF$20/BF8)*((C8/C$20)^(1/4)))^2/SQRT(8*(1+(C$20/C8))),0),0)</f>
        <v>#DIV/0!</v>
      </c>
      <c r="DE8" s="91" t="e">
        <f t="shared" ref="DE8:DE24" si="133">AD8*IF(B$21&lt;&gt;"-",IF(B8&lt;&gt;"-",(1+SQRT(BF$21/BF8)*((C8/C$21)^(1/4)))^2/SQRT(8*(1+(C$21/C8))),0),0)</f>
        <v>#DIV/0!</v>
      </c>
      <c r="DF8" s="91" t="e">
        <f t="shared" ref="DF8:DF24" si="134">AD8*IF(B$22&lt;&gt;"-",IF(B8&lt;&gt;"-",(1+SQRT(BF$22/BF8)*((C8/C$22)^(1/4)))^2/SQRT(8*(1+(C$22/C8))),0),0)</f>
        <v>#DIV/0!</v>
      </c>
      <c r="DG8" s="91" t="e">
        <f t="shared" ref="DG8:DG24" si="135">AD8*IF(B$23&lt;&gt;"-",IF(B8&lt;&gt;"-",(1+SQRT(BF$23/BF8)*((C8/C$23)^(1/4)))^2/SQRT(8*(1+(C$23/C8))),0),0)</f>
        <v>#DIV/0!</v>
      </c>
      <c r="DH8" s="92" t="e">
        <f t="shared" ref="DH8:DH24" si="136">AD8*IF(B$24&lt;&gt;"-",IF(B8&lt;&gt;"-",(1+SQRT(BF$24/BF8)*((C8/C$24)^(1/4)))^2/SQRT(8*(1+(C$24/C8))),0),0)</f>
        <v>#DIV/0!</v>
      </c>
      <c r="DI8" s="93">
        <f t="shared" ref="DI8:DI24" si="137">IF(B8&lt;&gt;"-",52.46*(L8^2)*H8/(G8^2),0)</f>
        <v>0</v>
      </c>
      <c r="DJ8" s="94">
        <f t="shared" si="6"/>
        <v>0.93413159999999995</v>
      </c>
      <c r="DK8" s="95">
        <f t="shared" si="7"/>
        <v>1.218556452555811</v>
      </c>
      <c r="DL8" s="95">
        <f t="shared" ref="DL8:DL24" si="138">IF(DK8&gt;0,1.16145*(DK8^(-0.14874))+0.52487*EXP(-0.7732*DK8)+2.16178*EXP(-2.43787*DK8),0)</f>
        <v>1.4432109228387877</v>
      </c>
      <c r="DM8" s="95">
        <f t="shared" si="8"/>
        <v>1.1426367989330994</v>
      </c>
      <c r="DN8" s="95">
        <f t="shared" ref="DN8:DN24" si="139">IF(DM8&gt;0,1.16145*(DM8^(-0.14874))+0.52487*EXP(-0.7732*DM8)+2.16178*EXP(-2.43787*DM8),0)</f>
        <v>1.488956141995847</v>
      </c>
      <c r="DO8" s="95">
        <f t="shared" si="9"/>
        <v>1.1426367989330994</v>
      </c>
      <c r="DP8" s="95">
        <f t="shared" ref="DP8:DP24" si="140">IF(DO8&gt;0,1.16145*(DO8^(-0.14874))+0.52487*EXP(-0.7732*DO8)+2.16178*EXP(-2.43787*DO8),0)</f>
        <v>1.488956141995847</v>
      </c>
      <c r="DQ8" s="96">
        <f t="shared" si="10"/>
        <v>145.41458925152398</v>
      </c>
      <c r="DR8" s="96">
        <f t="shared" si="11"/>
        <v>136.48570232327057</v>
      </c>
      <c r="DS8" s="97">
        <f t="shared" si="12"/>
        <v>136.48570232327057</v>
      </c>
      <c r="DT8" s="98">
        <f t="shared" si="13"/>
        <v>1.2029984985527362E-7</v>
      </c>
      <c r="DU8" s="98">
        <f t="shared" si="14"/>
        <v>1.0000000000000001E-7</v>
      </c>
      <c r="DV8" s="98">
        <f t="shared" si="15"/>
        <v>1.3365030526902436E-7</v>
      </c>
      <c r="DW8" s="98">
        <f t="shared" si="16"/>
        <v>1.3581835543494821E-7</v>
      </c>
      <c r="DX8" s="98">
        <f t="shared" si="17"/>
        <v>1.3709918690044003E-7</v>
      </c>
      <c r="DY8" s="98">
        <f t="shared" si="18"/>
        <v>1.3951417049532517E-7</v>
      </c>
      <c r="DZ8" s="98">
        <f t="shared" si="19"/>
        <v>2.9624056719941131E-7</v>
      </c>
      <c r="EA8" s="98">
        <f t="shared" si="20"/>
        <v>0</v>
      </c>
      <c r="EB8" s="98">
        <f t="shared" si="21"/>
        <v>0</v>
      </c>
      <c r="EC8" s="98">
        <f t="shared" si="22"/>
        <v>0</v>
      </c>
      <c r="ED8" s="98">
        <f t="shared" si="23"/>
        <v>0</v>
      </c>
      <c r="EE8" s="98">
        <f t="shared" si="24"/>
        <v>0</v>
      </c>
      <c r="EF8" s="98">
        <f t="shared" si="25"/>
        <v>0</v>
      </c>
      <c r="EG8" s="98">
        <f t="shared" si="26"/>
        <v>0</v>
      </c>
      <c r="EH8" s="98">
        <f t="shared" si="27"/>
        <v>0</v>
      </c>
      <c r="EI8" s="98">
        <f t="shared" si="28"/>
        <v>0</v>
      </c>
      <c r="EJ8" s="98">
        <f t="shared" si="29"/>
        <v>0</v>
      </c>
      <c r="EK8" s="99">
        <f t="shared" si="30"/>
        <v>0</v>
      </c>
      <c r="EL8" s="98">
        <f t="shared" si="31"/>
        <v>1.2017001120881383</v>
      </c>
      <c r="EM8" s="98">
        <f t="shared" si="32"/>
        <v>0.99950000000000006</v>
      </c>
      <c r="EN8" s="98">
        <f t="shared" si="33"/>
        <v>1.3452717808431141</v>
      </c>
      <c r="EO8" s="98">
        <f t="shared" si="34"/>
        <v>1.3631583786178203</v>
      </c>
      <c r="EP8" s="98">
        <f t="shared" si="35"/>
        <v>1.3805377248487933</v>
      </c>
      <c r="EQ8" s="98">
        <f t="shared" si="36"/>
        <v>1.4030822279356068</v>
      </c>
      <c r="ER8" s="98">
        <f t="shared" si="37"/>
        <v>3.0037170457064524</v>
      </c>
      <c r="ES8" s="98">
        <f t="shared" si="38"/>
        <v>0</v>
      </c>
      <c r="ET8" s="98">
        <f t="shared" si="39"/>
        <v>0</v>
      </c>
      <c r="EU8" s="98">
        <f t="shared" si="40"/>
        <v>0</v>
      </c>
      <c r="EV8" s="98">
        <f t="shared" si="41"/>
        <v>0</v>
      </c>
      <c r="EW8" s="98">
        <f t="shared" si="42"/>
        <v>0</v>
      </c>
      <c r="EX8" s="98">
        <f t="shared" si="43"/>
        <v>0</v>
      </c>
      <c r="EY8" s="98">
        <f t="shared" si="44"/>
        <v>0</v>
      </c>
      <c r="EZ8" s="98">
        <f t="shared" si="45"/>
        <v>0</v>
      </c>
      <c r="FA8" s="98">
        <f t="shared" si="46"/>
        <v>0</v>
      </c>
      <c r="FB8" s="98">
        <f t="shared" si="47"/>
        <v>0</v>
      </c>
      <c r="FC8" s="98">
        <f t="shared" si="48"/>
        <v>0</v>
      </c>
      <c r="FD8" s="100" t="e">
        <f t="shared" si="49"/>
        <v>#DIV/0!</v>
      </c>
      <c r="FE8" s="98" t="e">
        <f t="shared" si="50"/>
        <v>#DIV/0!</v>
      </c>
      <c r="FF8" s="98" t="e">
        <f t="shared" si="51"/>
        <v>#DIV/0!</v>
      </c>
      <c r="FG8" s="98" t="e">
        <f t="shared" si="52"/>
        <v>#DIV/0!</v>
      </c>
      <c r="FH8" s="98" t="e">
        <f t="shared" si="53"/>
        <v>#DIV/0!</v>
      </c>
      <c r="FI8" s="98" t="e">
        <f t="shared" si="54"/>
        <v>#DIV/0!</v>
      </c>
      <c r="FJ8" s="98" t="e">
        <f t="shared" si="55"/>
        <v>#DIV/0!</v>
      </c>
      <c r="FK8" s="98" t="e">
        <f t="shared" si="56"/>
        <v>#DIV/0!</v>
      </c>
      <c r="FL8" s="98" t="e">
        <f t="shared" si="57"/>
        <v>#DIV/0!</v>
      </c>
      <c r="FM8" s="98" t="e">
        <f t="shared" si="58"/>
        <v>#DIV/0!</v>
      </c>
      <c r="FN8" s="98" t="e">
        <f t="shared" si="59"/>
        <v>#DIV/0!</v>
      </c>
      <c r="FO8" s="98" t="e">
        <f t="shared" si="60"/>
        <v>#DIV/0!</v>
      </c>
      <c r="FP8" s="98" t="e">
        <f t="shared" si="61"/>
        <v>#DIV/0!</v>
      </c>
      <c r="FQ8" s="98" t="e">
        <f t="shared" si="62"/>
        <v>#DIV/0!</v>
      </c>
      <c r="FR8" s="98" t="e">
        <f t="shared" si="63"/>
        <v>#DIV/0!</v>
      </c>
      <c r="FS8" s="98" t="e">
        <f t="shared" si="64"/>
        <v>#DIV/0!</v>
      </c>
      <c r="FT8" s="98" t="e">
        <f t="shared" si="65"/>
        <v>#DIV/0!</v>
      </c>
      <c r="FU8" s="98" t="e">
        <f t="shared" si="66"/>
        <v>#DIV/0!</v>
      </c>
      <c r="FV8" s="101">
        <f>IF(B8='Process DB'!$D$27,IF(AB8&gt;$FX$4,1,0),0)</f>
        <v>0</v>
      </c>
      <c r="FW8" s="50">
        <f>IF(B8='Process DB'!$D$27,IF(AC8&gt;$FX$4,1,0),0)</f>
        <v>0</v>
      </c>
      <c r="FX8" s="50">
        <f>IF(B8='Process DB'!$D$27,IF(AD8&gt;$FX$4,1,0),0)</f>
        <v>0</v>
      </c>
      <c r="FY8" s="41"/>
      <c r="GB8" s="101">
        <f>IF(GB$7&gt;0,IF(B8='Process DB'!$D$13,IF(AB8&gt;$GD$4,1,0),0),0)</f>
        <v>0</v>
      </c>
      <c r="GC8" s="102">
        <f>IF(GC$7&gt;0,IF(B8='Process DB'!$D$13,IF(AC8&gt;$GD$4,1,0),0),0)</f>
        <v>0</v>
      </c>
      <c r="GD8" s="102" t="e">
        <f>IF(GD$7&gt;0,IF(B8='Process DB'!$D$13,IF(AD8&gt;$GD$4,1,0),0),0)</f>
        <v>#DIV/0!</v>
      </c>
      <c r="GE8" s="103">
        <f t="shared" si="67"/>
        <v>-1.4421523676326656E-5</v>
      </c>
      <c r="GF8" s="78">
        <f t="shared" si="67"/>
        <v>-814.44736377888603</v>
      </c>
    </row>
    <row r="9" spans="1:189" ht="15" customHeight="1">
      <c r="B9" s="19" t="str">
        <f>VLOOKUP('Process DS'!$D8,'Process DB'!$C$7:$AA$41,B$4)</f>
        <v>CO</v>
      </c>
      <c r="C9" s="17">
        <f>VLOOKUP('Process DS'!$D8,'Process DB'!$C$7:$AA$41,C$4)</f>
        <v>28.010100000000001</v>
      </c>
      <c r="D9" s="18">
        <f>VLOOKUP('Process DS'!$D8,'Process DB'!$C$7:$AA$41,D$4)</f>
        <v>320.5</v>
      </c>
      <c r="E9" s="19">
        <f>VLOOKUP('Process DS'!$D8,'Process DB'!$C$7:$AA$41,E$4)</f>
        <v>0</v>
      </c>
      <c r="F9" s="19">
        <f>VLOOKUP('Process DS'!$D8,'Process DB'!$C$7:$AA$41,F$4)</f>
        <v>0</v>
      </c>
      <c r="G9" s="20">
        <f>VLOOKUP('Process DS'!$D8,'Process DB'!$C$7:$AA$41,G$4)</f>
        <v>132.9</v>
      </c>
      <c r="H9" s="20">
        <f>VLOOKUP('Process DS'!$D8,'Process DB'!$C$7:$AA$41,H$4)</f>
        <v>35</v>
      </c>
      <c r="I9" s="21">
        <f>VLOOKUP('Process DS'!$D8,'Process DB'!$C$7:$AA$41,I$4)</f>
        <v>93.2</v>
      </c>
      <c r="J9" s="14">
        <f>VLOOKUP('Process DS'!$D8,'Process DB'!$C$7:$AA$41,J$4)</f>
        <v>0.29499999999999998</v>
      </c>
      <c r="K9" s="14">
        <f>VLOOKUP('Process DS'!$D8,'Process DB'!$C$7:$AA$41,K$4)</f>
        <v>6.6000000000000003E-2</v>
      </c>
      <c r="L9" s="21">
        <f>VLOOKUP('Process DS'!$D8,'Process DB'!$C$7:$AA$41,L$4)</f>
        <v>0.1</v>
      </c>
      <c r="M9" s="14">
        <f>VLOOKUP('Process DS'!$D8,'Process DB'!$C$7:$AA$41,M$4)</f>
        <v>30.87</v>
      </c>
      <c r="N9" s="15">
        <f>VLOOKUP('Process DS'!$D8,'Process DB'!$C$7:$AA$41,N$4)</f>
        <v>-1.285E-2</v>
      </c>
      <c r="O9" s="15">
        <f>VLOOKUP('Process DS'!$D8,'Process DB'!$C$7:$AA$41,O$4)</f>
        <v>2.7889999999999999E-5</v>
      </c>
      <c r="P9" s="15">
        <f>VLOOKUP('Process DS'!$D8,'Process DB'!$C$7:$AA$41,P$4)</f>
        <v>-1.2720000000000001E-8</v>
      </c>
      <c r="Q9" s="15">
        <f>VLOOKUP('Process DS'!$D8,'Process DB'!$C$7:$AA$41,Q$4)</f>
        <v>5.0670000000000001E-4</v>
      </c>
      <c r="R9" s="15">
        <f>VLOOKUP('Process DS'!$D8,'Process DB'!$C$7:$AA$41,R$4)</f>
        <v>9.1249999999999995E-5</v>
      </c>
      <c r="S9" s="15">
        <f>VLOOKUP('Process DS'!$D8,'Process DB'!$C$7:$AA$41,S$4)</f>
        <v>-3.5240000000000003E-8</v>
      </c>
      <c r="T9" s="15">
        <f>VLOOKUP('Process DS'!$D8,'Process DB'!$C$7:$AA$41,T$4)</f>
        <v>8.1989999999999993E-12</v>
      </c>
      <c r="U9" s="17">
        <f>VLOOKUP('Process DS'!$D8,'Process DB'!$C$7:$AA$41,U$4)</f>
        <v>0</v>
      </c>
      <c r="V9" s="12">
        <f>VLOOKUP('Process DS'!$D8,'Process DB'!$C$7:$AA$41,V$4)</f>
        <v>320.5</v>
      </c>
      <c r="W9" s="15">
        <f>VLOOKUP('Process DS'!$D8,'Process DB'!$C$7:$AA$41,W$4)</f>
        <v>-110527</v>
      </c>
      <c r="X9" s="15">
        <f>VLOOKUP('Process DS'!$D8,'Process DB'!$C$7:$AA$41,X$4)</f>
        <v>0</v>
      </c>
      <c r="Y9" s="15">
        <f>VLOOKUP('Process DS'!$D8,'Process DB'!$C$7:$AA$41,Y$4)</f>
        <v>0</v>
      </c>
      <c r="Z9" s="17"/>
      <c r="AB9" s="76">
        <f t="shared" si="1"/>
        <v>1.0000000000000001E-7</v>
      </c>
      <c r="AC9" s="77">
        <f t="shared" si="68"/>
        <v>4.8999999999999998E-5</v>
      </c>
      <c r="AD9" s="76" t="e">
        <f t="shared" si="69"/>
        <v>#DIV/0!</v>
      </c>
      <c r="AF9" s="78">
        <f t="shared" si="2"/>
        <v>2.8010100000000002E-6</v>
      </c>
      <c r="AG9" s="78">
        <f t="shared" si="2"/>
        <v>1.3724949E-3</v>
      </c>
      <c r="AH9" s="79" t="e">
        <f t="shared" si="2"/>
        <v>#DIV/0!</v>
      </c>
      <c r="AI9" s="80">
        <f t="shared" si="70"/>
        <v>3.205E-5</v>
      </c>
      <c r="AJ9" s="80">
        <f t="shared" si="70"/>
        <v>1.57045E-2</v>
      </c>
      <c r="AK9" s="81" t="e">
        <f t="shared" si="70"/>
        <v>#DIV/0!</v>
      </c>
      <c r="AL9" s="105">
        <f t="shared" si="71"/>
        <v>3.205E-5</v>
      </c>
      <c r="AM9" s="82">
        <f t="shared" si="71"/>
        <v>1.57045E-2</v>
      </c>
      <c r="AN9" s="81" t="e">
        <f t="shared" si="71"/>
        <v>#DIV/0!</v>
      </c>
      <c r="AO9" s="84">
        <f t="shared" si="72"/>
        <v>0</v>
      </c>
      <c r="AP9" s="84">
        <f t="shared" si="73"/>
        <v>0</v>
      </c>
      <c r="AQ9" s="84">
        <f t="shared" si="74"/>
        <v>0</v>
      </c>
      <c r="AR9" s="84">
        <f t="shared" si="75"/>
        <v>0</v>
      </c>
      <c r="AS9" s="84" t="e">
        <f t="shared" si="76"/>
        <v>#DIV/0!</v>
      </c>
      <c r="AT9" s="85" t="e">
        <f t="shared" si="77"/>
        <v>#DIV/0!</v>
      </c>
      <c r="AU9" s="83">
        <f t="shared" si="78"/>
        <v>0</v>
      </c>
      <c r="AV9" s="83">
        <f t="shared" si="79"/>
        <v>0</v>
      </c>
      <c r="AW9" s="83">
        <f t="shared" si="3"/>
        <v>0</v>
      </c>
      <c r="AX9" s="83">
        <f t="shared" si="80"/>
        <v>0</v>
      </c>
      <c r="AY9" s="84" t="e">
        <f t="shared" si="81"/>
        <v>#DIV/0!</v>
      </c>
      <c r="AZ9" s="86" t="e">
        <f t="shared" si="82"/>
        <v>#DIV/0!</v>
      </c>
      <c r="BA9" s="87">
        <f t="shared" si="4"/>
        <v>2.9179623714488032E-6</v>
      </c>
      <c r="BB9" s="87">
        <f t="shared" si="4"/>
        <v>1.4298465697160161E-3</v>
      </c>
      <c r="BC9" s="88" t="e">
        <f t="shared" si="4"/>
        <v>#DIV/0!</v>
      </c>
      <c r="BD9" s="89">
        <f t="shared" si="5"/>
        <v>2.4515518960925339E-2</v>
      </c>
      <c r="BE9" s="89">
        <f t="shared" si="5"/>
        <v>2.3174317410918254E-2</v>
      </c>
      <c r="BF9" s="90">
        <f t="shared" si="5"/>
        <v>2.3174317410918254E-2</v>
      </c>
      <c r="BG9" s="91">
        <f t="shared" si="83"/>
        <v>1.0456711555705783E-7</v>
      </c>
      <c r="BH9" s="91">
        <f t="shared" si="84"/>
        <v>6.6329932555770495E-8</v>
      </c>
      <c r="BI9" s="91">
        <f t="shared" si="85"/>
        <v>1.0000000000000001E-7</v>
      </c>
      <c r="BJ9" s="91">
        <f t="shared" si="86"/>
        <v>1.5379773587708152E-7</v>
      </c>
      <c r="BK9" s="91">
        <f t="shared" si="87"/>
        <v>1.0153159220248583E-7</v>
      </c>
      <c r="BL9" s="91">
        <f t="shared" si="88"/>
        <v>9.6255351765614354E-8</v>
      </c>
      <c r="BM9" s="91">
        <f t="shared" si="89"/>
        <v>8.1527906199795899E-7</v>
      </c>
      <c r="BN9" s="91">
        <f t="shared" si="90"/>
        <v>0</v>
      </c>
      <c r="BO9" s="91">
        <f t="shared" si="91"/>
        <v>0</v>
      </c>
      <c r="BP9" s="91">
        <f t="shared" si="92"/>
        <v>0</v>
      </c>
      <c r="BQ9" s="91">
        <f t="shared" si="93"/>
        <v>0</v>
      </c>
      <c r="BR9" s="91">
        <f t="shared" si="94"/>
        <v>0</v>
      </c>
      <c r="BS9" s="91">
        <f t="shared" si="95"/>
        <v>0</v>
      </c>
      <c r="BT9" s="91">
        <f t="shared" si="96"/>
        <v>0</v>
      </c>
      <c r="BU9" s="91">
        <f t="shared" si="97"/>
        <v>0</v>
      </c>
      <c r="BV9" s="91">
        <f t="shared" si="98"/>
        <v>0</v>
      </c>
      <c r="BW9" s="91">
        <f t="shared" si="99"/>
        <v>0</v>
      </c>
      <c r="BX9" s="90">
        <f t="shared" si="100"/>
        <v>0</v>
      </c>
      <c r="BY9" s="91">
        <f t="shared" si="101"/>
        <v>5.0750552183439476E-5</v>
      </c>
      <c r="BZ9" s="91">
        <f t="shared" si="102"/>
        <v>3.1995910395918585E-5</v>
      </c>
      <c r="CA9" s="91">
        <f t="shared" si="103"/>
        <v>4.8999999999999998E-5</v>
      </c>
      <c r="CB9" s="91">
        <f t="shared" si="104"/>
        <v>7.4172823513078483E-5</v>
      </c>
      <c r="CC9" s="91">
        <f t="shared" si="105"/>
        <v>4.9798124979060812E-5</v>
      </c>
      <c r="CD9" s="91">
        <f t="shared" si="106"/>
        <v>4.7110892260685348E-5</v>
      </c>
      <c r="CE9" s="91">
        <f t="shared" si="107"/>
        <v>4.0309046331842789E-4</v>
      </c>
      <c r="CF9" s="91">
        <f t="shared" si="108"/>
        <v>0</v>
      </c>
      <c r="CG9" s="91">
        <f t="shared" si="109"/>
        <v>0</v>
      </c>
      <c r="CH9" s="91">
        <f t="shared" si="110"/>
        <v>0</v>
      </c>
      <c r="CI9" s="91">
        <f t="shared" si="111"/>
        <v>0</v>
      </c>
      <c r="CJ9" s="91">
        <f t="shared" si="112"/>
        <v>0</v>
      </c>
      <c r="CK9" s="91">
        <f t="shared" si="113"/>
        <v>0</v>
      </c>
      <c r="CL9" s="91">
        <f t="shared" si="114"/>
        <v>0</v>
      </c>
      <c r="CM9" s="91">
        <f t="shared" si="115"/>
        <v>0</v>
      </c>
      <c r="CN9" s="91">
        <f t="shared" si="116"/>
        <v>0</v>
      </c>
      <c r="CO9" s="91">
        <f t="shared" si="117"/>
        <v>0</v>
      </c>
      <c r="CP9" s="90">
        <f t="shared" si="118"/>
        <v>0</v>
      </c>
      <c r="CQ9" s="106" t="e">
        <f t="shared" si="119"/>
        <v>#DIV/0!</v>
      </c>
      <c r="CR9" s="91" t="e">
        <f t="shared" si="120"/>
        <v>#DIV/0!</v>
      </c>
      <c r="CS9" s="91" t="e">
        <f t="shared" si="121"/>
        <v>#DIV/0!</v>
      </c>
      <c r="CT9" s="91" t="e">
        <f t="shared" si="122"/>
        <v>#DIV/0!</v>
      </c>
      <c r="CU9" s="91" t="e">
        <f t="shared" si="123"/>
        <v>#DIV/0!</v>
      </c>
      <c r="CV9" s="91" t="e">
        <f t="shared" si="124"/>
        <v>#DIV/0!</v>
      </c>
      <c r="CW9" s="91" t="e">
        <f t="shared" si="125"/>
        <v>#DIV/0!</v>
      </c>
      <c r="CX9" s="91" t="e">
        <f t="shared" si="126"/>
        <v>#DIV/0!</v>
      </c>
      <c r="CY9" s="91" t="e">
        <f t="shared" si="127"/>
        <v>#DIV/0!</v>
      </c>
      <c r="CZ9" s="91" t="e">
        <f t="shared" si="128"/>
        <v>#DIV/0!</v>
      </c>
      <c r="DA9" s="91" t="e">
        <f t="shared" si="129"/>
        <v>#DIV/0!</v>
      </c>
      <c r="DB9" s="91" t="e">
        <f t="shared" si="130"/>
        <v>#DIV/0!</v>
      </c>
      <c r="DC9" s="91" t="e">
        <f t="shared" si="131"/>
        <v>#DIV/0!</v>
      </c>
      <c r="DD9" s="91" t="e">
        <f t="shared" si="132"/>
        <v>#DIV/0!</v>
      </c>
      <c r="DE9" s="91" t="e">
        <f t="shared" si="133"/>
        <v>#DIV/0!</v>
      </c>
      <c r="DF9" s="91" t="e">
        <f t="shared" si="134"/>
        <v>#DIV/0!</v>
      </c>
      <c r="DG9" s="91" t="e">
        <f t="shared" si="135"/>
        <v>#DIV/0!</v>
      </c>
      <c r="DH9" s="92" t="e">
        <f t="shared" si="136"/>
        <v>#DIV/0!</v>
      </c>
      <c r="DI9" s="93">
        <f t="shared" si="137"/>
        <v>1.0395523600686431E-3</v>
      </c>
      <c r="DJ9" s="94">
        <f t="shared" si="6"/>
        <v>0.98181040000006892</v>
      </c>
      <c r="DK9" s="95">
        <f t="shared" si="7"/>
        <v>2.7882845539670593</v>
      </c>
      <c r="DL9" s="95">
        <f t="shared" si="138"/>
        <v>1.060344451104521</v>
      </c>
      <c r="DM9" s="95">
        <f t="shared" si="8"/>
        <v>2.6145662193796504</v>
      </c>
      <c r="DN9" s="95">
        <f t="shared" si="139"/>
        <v>1.0799414839776853</v>
      </c>
      <c r="DO9" s="95">
        <f t="shared" si="9"/>
        <v>2.6145662193796504</v>
      </c>
      <c r="DP9" s="95">
        <f t="shared" si="140"/>
        <v>1.0799414839776853</v>
      </c>
      <c r="DQ9" s="96">
        <f t="shared" si="10"/>
        <v>166.78652110537152</v>
      </c>
      <c r="DR9" s="96">
        <f t="shared" si="11"/>
        <v>158.57655193898543</v>
      </c>
      <c r="DS9" s="97">
        <f t="shared" si="12"/>
        <v>158.57655193898543</v>
      </c>
      <c r="DT9" s="98">
        <f t="shared" si="13"/>
        <v>9.3602333874777283E-8</v>
      </c>
      <c r="DU9" s="98">
        <f t="shared" si="14"/>
        <v>7.4162645037069388E-8</v>
      </c>
      <c r="DV9" s="98">
        <f t="shared" si="15"/>
        <v>1.0000000000000001E-7</v>
      </c>
      <c r="DW9" s="98">
        <f t="shared" si="16"/>
        <v>1.0530657408018392E-7</v>
      </c>
      <c r="DX9" s="98">
        <f t="shared" si="17"/>
        <v>1.023642285286174E-7</v>
      </c>
      <c r="DY9" s="98">
        <f t="shared" si="18"/>
        <v>1.0302405468113194E-7</v>
      </c>
      <c r="DZ9" s="98">
        <f t="shared" si="19"/>
        <v>2.2931495316271138E-7</v>
      </c>
      <c r="EA9" s="98">
        <f t="shared" si="20"/>
        <v>0</v>
      </c>
      <c r="EB9" s="98">
        <f t="shared" si="21"/>
        <v>0</v>
      </c>
      <c r="EC9" s="98">
        <f t="shared" si="22"/>
        <v>0</v>
      </c>
      <c r="ED9" s="98">
        <f t="shared" si="23"/>
        <v>0</v>
      </c>
      <c r="EE9" s="98">
        <f t="shared" si="24"/>
        <v>0</v>
      </c>
      <c r="EF9" s="98">
        <f t="shared" si="25"/>
        <v>0</v>
      </c>
      <c r="EG9" s="98">
        <f t="shared" si="26"/>
        <v>0</v>
      </c>
      <c r="EH9" s="98">
        <f t="shared" si="27"/>
        <v>0</v>
      </c>
      <c r="EI9" s="98">
        <f t="shared" si="28"/>
        <v>0</v>
      </c>
      <c r="EJ9" s="98">
        <f t="shared" si="29"/>
        <v>0</v>
      </c>
      <c r="EK9" s="99">
        <f t="shared" si="30"/>
        <v>0</v>
      </c>
      <c r="EL9" s="98">
        <f t="shared" si="31"/>
        <v>4.5572129216874298E-5</v>
      </c>
      <c r="EM9" s="98">
        <f t="shared" si="32"/>
        <v>3.6127651188823691E-5</v>
      </c>
      <c r="EN9" s="98">
        <f t="shared" si="33"/>
        <v>4.8999999999999998E-5</v>
      </c>
      <c r="EO9" s="98">
        <f t="shared" si="34"/>
        <v>5.147528897990094E-5</v>
      </c>
      <c r="EP9" s="98">
        <f t="shared" si="35"/>
        <v>5.0173387923560816E-5</v>
      </c>
      <c r="EQ9" s="98">
        <f t="shared" si="36"/>
        <v>5.043249299801058E-5</v>
      </c>
      <c r="ER9" s="98">
        <f t="shared" si="37"/>
        <v>1.1297594480076199E-4</v>
      </c>
      <c r="ES9" s="98">
        <f t="shared" si="38"/>
        <v>0</v>
      </c>
      <c r="ET9" s="98">
        <f t="shared" si="39"/>
        <v>0</v>
      </c>
      <c r="EU9" s="98">
        <f t="shared" si="40"/>
        <v>0</v>
      </c>
      <c r="EV9" s="98">
        <f t="shared" si="41"/>
        <v>0</v>
      </c>
      <c r="EW9" s="98">
        <f t="shared" si="42"/>
        <v>0</v>
      </c>
      <c r="EX9" s="98">
        <f t="shared" si="43"/>
        <v>0</v>
      </c>
      <c r="EY9" s="98">
        <f t="shared" si="44"/>
        <v>0</v>
      </c>
      <c r="EZ9" s="98">
        <f t="shared" si="45"/>
        <v>0</v>
      </c>
      <c r="FA9" s="98">
        <f t="shared" si="46"/>
        <v>0</v>
      </c>
      <c r="FB9" s="98">
        <f t="shared" si="47"/>
        <v>0</v>
      </c>
      <c r="FC9" s="98">
        <f t="shared" si="48"/>
        <v>0</v>
      </c>
      <c r="FD9" s="100" t="e">
        <f t="shared" si="49"/>
        <v>#DIV/0!</v>
      </c>
      <c r="FE9" s="98" t="e">
        <f t="shared" si="50"/>
        <v>#DIV/0!</v>
      </c>
      <c r="FF9" s="98" t="e">
        <f t="shared" si="51"/>
        <v>#DIV/0!</v>
      </c>
      <c r="FG9" s="98" t="e">
        <f t="shared" si="52"/>
        <v>#DIV/0!</v>
      </c>
      <c r="FH9" s="98" t="e">
        <f t="shared" si="53"/>
        <v>#DIV/0!</v>
      </c>
      <c r="FI9" s="98" t="e">
        <f t="shared" si="54"/>
        <v>#DIV/0!</v>
      </c>
      <c r="FJ9" s="98" t="e">
        <f t="shared" si="55"/>
        <v>#DIV/0!</v>
      </c>
      <c r="FK9" s="98" t="e">
        <f t="shared" si="56"/>
        <v>#DIV/0!</v>
      </c>
      <c r="FL9" s="98" t="e">
        <f t="shared" si="57"/>
        <v>#DIV/0!</v>
      </c>
      <c r="FM9" s="98" t="e">
        <f t="shared" si="58"/>
        <v>#DIV/0!</v>
      </c>
      <c r="FN9" s="98" t="e">
        <f t="shared" si="59"/>
        <v>#DIV/0!</v>
      </c>
      <c r="FO9" s="98" t="e">
        <f t="shared" si="60"/>
        <v>#DIV/0!</v>
      </c>
      <c r="FP9" s="98" t="e">
        <f t="shared" si="61"/>
        <v>#DIV/0!</v>
      </c>
      <c r="FQ9" s="98" t="e">
        <f t="shared" si="62"/>
        <v>#DIV/0!</v>
      </c>
      <c r="FR9" s="98" t="e">
        <f t="shared" si="63"/>
        <v>#DIV/0!</v>
      </c>
      <c r="FS9" s="98" t="e">
        <f t="shared" si="64"/>
        <v>#DIV/0!</v>
      </c>
      <c r="FT9" s="98" t="e">
        <f t="shared" si="65"/>
        <v>#DIV/0!</v>
      </c>
      <c r="FU9" s="98" t="e">
        <f t="shared" si="66"/>
        <v>#DIV/0!</v>
      </c>
      <c r="FV9" s="101">
        <f>IF(B9='Process DB'!$D$27,IF(AB9&gt;$FX$4,1,0),0)</f>
        <v>0</v>
      </c>
      <c r="FW9" s="50">
        <f>IF(B9='Process DB'!$D$27,IF(AC9&gt;$FX$4,1,0),0)</f>
        <v>0</v>
      </c>
      <c r="FX9" s="50">
        <f>IF(B9='Process DB'!$D$27,IF(AD9&gt;$FX$4,1,0),0)</f>
        <v>0</v>
      </c>
      <c r="FY9" s="41"/>
      <c r="GB9" s="101">
        <f>IF(GB$7&gt;0,IF(B9='Process DB'!$D$13,IF(AB9&gt;$GD$4,1,0),0),0)</f>
        <v>0</v>
      </c>
      <c r="GC9" s="102">
        <f>IF(GC$7&gt;0,IF(B9='Process DB'!$D$13,IF(AC9&gt;$GD$4,1,0),0),0)</f>
        <v>0</v>
      </c>
      <c r="GD9" s="102" t="e">
        <f>IF(GD$7&gt;0,IF(B9='Process DB'!$D$13,IF(AD9&gt;$GD$4,1,0),0),0)</f>
        <v>#DIV/0!</v>
      </c>
      <c r="GE9" s="103">
        <f t="shared" si="67"/>
        <v>-1.1347860356623677E-5</v>
      </c>
      <c r="GF9" s="78">
        <f t="shared" si="67"/>
        <v>-3.1773036742800909E-2</v>
      </c>
    </row>
    <row r="10" spans="1:189" ht="15" customHeight="1">
      <c r="B10" s="19" t="str">
        <f>VLOOKUP('Process DS'!$D9,'Process DB'!$C$7:$AA$41,B$4)</f>
        <v>CH4</v>
      </c>
      <c r="C10" s="17">
        <f>VLOOKUP('Process DS'!$D9,'Process DB'!$C$7:$AA$41,C$4)</f>
        <v>16.042459999999998</v>
      </c>
      <c r="D10" s="18">
        <f>VLOOKUP('Process DS'!$D9,'Process DB'!$C$7:$AA$41,D$4)</f>
        <v>1010</v>
      </c>
      <c r="E10" s="19">
        <f>VLOOKUP('Process DS'!$D9,'Process DB'!$C$7:$AA$41,E$4)</f>
        <v>0</v>
      </c>
      <c r="F10" s="19">
        <f>VLOOKUP('Process DS'!$D9,'Process DB'!$C$7:$AA$41,F$4)</f>
        <v>0</v>
      </c>
      <c r="G10" s="20">
        <f>VLOOKUP('Process DS'!$D9,'Process DB'!$C$7:$AA$41,G$4)</f>
        <v>190.4</v>
      </c>
      <c r="H10" s="20">
        <f>VLOOKUP('Process DS'!$D9,'Process DB'!$C$7:$AA$41,H$4)</f>
        <v>46</v>
      </c>
      <c r="I10" s="21">
        <f>VLOOKUP('Process DS'!$D9,'Process DB'!$C$7:$AA$41,I$4)</f>
        <v>99.2</v>
      </c>
      <c r="J10" s="14">
        <f>VLOOKUP('Process DS'!$D9,'Process DB'!$C$7:$AA$41,J$4)</f>
        <v>0.28799999999999998</v>
      </c>
      <c r="K10" s="14">
        <f>VLOOKUP('Process DS'!$D9,'Process DB'!$C$7:$AA$41,K$4)</f>
        <v>1.0999999999999999E-2</v>
      </c>
      <c r="L10" s="21">
        <f>VLOOKUP('Process DS'!$D9,'Process DB'!$C$7:$AA$41,L$4)</f>
        <v>0</v>
      </c>
      <c r="M10" s="14">
        <f>VLOOKUP('Process DS'!$D9,'Process DB'!$C$7:$AA$41,M$4)</f>
        <v>19.25</v>
      </c>
      <c r="N10" s="15">
        <f>VLOOKUP('Process DS'!$D9,'Process DB'!$C$7:$AA$41,N$4)</f>
        <v>5.2130000000000003E-2</v>
      </c>
      <c r="O10" s="15">
        <f>VLOOKUP('Process DS'!$D9,'Process DB'!$C$7:$AA$41,O$4)</f>
        <v>1.1970000000000001E-5</v>
      </c>
      <c r="P10" s="15">
        <f>VLOOKUP('Process DS'!$D9,'Process DB'!$C$7:$AA$41,P$4)</f>
        <v>-1.132E-8</v>
      </c>
      <c r="Q10" s="15">
        <f>VLOOKUP('Process DS'!$D9,'Process DB'!$C$7:$AA$41,Q$4)</f>
        <v>-1.869E-3</v>
      </c>
      <c r="R10" s="15">
        <f>VLOOKUP('Process DS'!$D9,'Process DB'!$C$7:$AA$41,R$4)</f>
        <v>8.7269999999999996E-5</v>
      </c>
      <c r="S10" s="15">
        <f>VLOOKUP('Process DS'!$D9,'Process DB'!$C$7:$AA$41,S$4)</f>
        <v>1.179E-7</v>
      </c>
      <c r="T10" s="15">
        <f>VLOOKUP('Process DS'!$D9,'Process DB'!$C$7:$AA$41,T$4)</f>
        <v>-3.6139999999999997E-11</v>
      </c>
      <c r="U10" s="17">
        <f>VLOOKUP('Process DS'!$D9,'Process DB'!$C$7:$AA$41,U$4)</f>
        <v>0</v>
      </c>
      <c r="V10" s="12">
        <f>VLOOKUP('Process DS'!$D9,'Process DB'!$C$7:$AA$41,V$4)</f>
        <v>909.4</v>
      </c>
      <c r="W10" s="15">
        <f>VLOOKUP('Process DS'!$D9,'Process DB'!$C$7:$AA$41,W$4)</f>
        <v>-74873</v>
      </c>
      <c r="X10" s="15">
        <f>VLOOKUP('Process DS'!$D9,'Process DB'!$C$7:$AA$41,X$4)</f>
        <v>0</v>
      </c>
      <c r="Y10" s="15">
        <f>VLOOKUP('Process DS'!$D9,'Process DB'!$C$7:$AA$41,Y$4)</f>
        <v>0</v>
      </c>
      <c r="Z10" s="17"/>
      <c r="AB10" s="76">
        <f t="shared" si="1"/>
        <v>1.0000000000000001E-7</v>
      </c>
      <c r="AC10" s="77">
        <f t="shared" si="68"/>
        <v>7.4872545757077468E-7</v>
      </c>
      <c r="AD10" s="76" t="e">
        <f t="shared" si="69"/>
        <v>#DIV/0!</v>
      </c>
      <c r="AF10" s="78">
        <f t="shared" si="2"/>
        <v>1.604246E-6</v>
      </c>
      <c r="AG10" s="78">
        <f t="shared" si="2"/>
        <v>1.2011398204060848E-5</v>
      </c>
      <c r="AH10" s="79" t="e">
        <f t="shared" si="2"/>
        <v>#DIV/0!</v>
      </c>
      <c r="AI10" s="80">
        <f t="shared" si="70"/>
        <v>1.0100000000000002E-4</v>
      </c>
      <c r="AJ10" s="80">
        <f t="shared" si="70"/>
        <v>7.5621271214648244E-4</v>
      </c>
      <c r="AK10" s="81" t="e">
        <f t="shared" si="70"/>
        <v>#DIV/0!</v>
      </c>
      <c r="AL10" s="105">
        <f t="shared" si="71"/>
        <v>9.0940000000000007E-5</v>
      </c>
      <c r="AM10" s="82">
        <f t="shared" si="71"/>
        <v>6.8089093111486248E-4</v>
      </c>
      <c r="AN10" s="81" t="e">
        <f t="shared" si="71"/>
        <v>#DIV/0!</v>
      </c>
      <c r="AO10" s="84">
        <f t="shared" si="72"/>
        <v>0</v>
      </c>
      <c r="AP10" s="84">
        <f t="shared" si="73"/>
        <v>0</v>
      </c>
      <c r="AQ10" s="84">
        <f t="shared" si="74"/>
        <v>0</v>
      </c>
      <c r="AR10" s="84">
        <f t="shared" si="75"/>
        <v>0</v>
      </c>
      <c r="AS10" s="84" t="e">
        <f t="shared" si="76"/>
        <v>#DIV/0!</v>
      </c>
      <c r="AT10" s="85" t="e">
        <f t="shared" si="77"/>
        <v>#DIV/0!</v>
      </c>
      <c r="AU10" s="83">
        <f t="shared" si="78"/>
        <v>0</v>
      </c>
      <c r="AV10" s="83">
        <f t="shared" si="79"/>
        <v>0</v>
      </c>
      <c r="AW10" s="83">
        <f t="shared" si="3"/>
        <v>0</v>
      </c>
      <c r="AX10" s="83">
        <f t="shared" si="80"/>
        <v>0</v>
      </c>
      <c r="AY10" s="84" t="e">
        <f t="shared" si="81"/>
        <v>#DIV/0!</v>
      </c>
      <c r="AZ10" s="86" t="e">
        <f t="shared" si="82"/>
        <v>#DIV/0!</v>
      </c>
      <c r="BA10" s="87">
        <f t="shared" si="4"/>
        <v>3.5337876191703858E-6</v>
      </c>
      <c r="BB10" s="87">
        <f t="shared" si="4"/>
        <v>2.5687013354666663E-5</v>
      </c>
      <c r="BC10" s="88" t="e">
        <f t="shared" si="4"/>
        <v>#DIV/0!</v>
      </c>
      <c r="BD10" s="89">
        <f t="shared" si="5"/>
        <v>3.3099235706982096E-2</v>
      </c>
      <c r="BE10" s="89">
        <f t="shared" si="5"/>
        <v>3.0428436052399855E-2</v>
      </c>
      <c r="BF10" s="90">
        <f t="shared" si="5"/>
        <v>3.0428436052399855E-2</v>
      </c>
      <c r="BG10" s="91">
        <f t="shared" si="83"/>
        <v>7.0878191574048177E-8</v>
      </c>
      <c r="BH10" s="91">
        <f t="shared" si="84"/>
        <v>4.3895361006801744E-8</v>
      </c>
      <c r="BI10" s="91">
        <f t="shared" si="85"/>
        <v>6.5242316592341566E-8</v>
      </c>
      <c r="BJ10" s="91">
        <f t="shared" si="86"/>
        <v>1.0000000000000001E-7</v>
      </c>
      <c r="BK10" s="91">
        <f t="shared" si="87"/>
        <v>6.6096682212149034E-8</v>
      </c>
      <c r="BL10" s="91">
        <f t="shared" si="88"/>
        <v>6.227359990172075E-8</v>
      </c>
      <c r="BM10" s="91">
        <f t="shared" si="89"/>
        <v>4.9815587542175494E-7</v>
      </c>
      <c r="BN10" s="91">
        <f t="shared" si="90"/>
        <v>0</v>
      </c>
      <c r="BO10" s="91">
        <f t="shared" si="91"/>
        <v>0</v>
      </c>
      <c r="BP10" s="91">
        <f t="shared" si="92"/>
        <v>0</v>
      </c>
      <c r="BQ10" s="91">
        <f t="shared" si="93"/>
        <v>0</v>
      </c>
      <c r="BR10" s="91">
        <f t="shared" si="94"/>
        <v>0</v>
      </c>
      <c r="BS10" s="91">
        <f t="shared" si="95"/>
        <v>0</v>
      </c>
      <c r="BT10" s="91">
        <f t="shared" si="96"/>
        <v>0</v>
      </c>
      <c r="BU10" s="91">
        <f t="shared" si="97"/>
        <v>0</v>
      </c>
      <c r="BV10" s="91">
        <f t="shared" si="98"/>
        <v>0</v>
      </c>
      <c r="BW10" s="91">
        <f t="shared" si="99"/>
        <v>0</v>
      </c>
      <c r="BX10" s="90">
        <f t="shared" si="100"/>
        <v>0</v>
      </c>
      <c r="BY10" s="91">
        <f t="shared" si="101"/>
        <v>5.3248800346399447E-7</v>
      </c>
      <c r="BZ10" s="91">
        <f t="shared" si="102"/>
        <v>3.2756711887468443E-7</v>
      </c>
      <c r="CA10" s="91">
        <f t="shared" si="103"/>
        <v>4.9437324253001902E-7</v>
      </c>
      <c r="CB10" s="91">
        <f t="shared" si="104"/>
        <v>7.4872545757077468E-7</v>
      </c>
      <c r="CC10" s="91">
        <f t="shared" si="105"/>
        <v>5.0131360538986077E-7</v>
      </c>
      <c r="CD10" s="91">
        <f t="shared" si="106"/>
        <v>4.71397455101809E-7</v>
      </c>
      <c r="CE10" s="91">
        <f t="shared" si="107"/>
        <v>3.8408238328490097E-6</v>
      </c>
      <c r="CF10" s="91">
        <f t="shared" si="108"/>
        <v>0</v>
      </c>
      <c r="CG10" s="91">
        <f t="shared" si="109"/>
        <v>0</v>
      </c>
      <c r="CH10" s="91">
        <f t="shared" si="110"/>
        <v>0</v>
      </c>
      <c r="CI10" s="91">
        <f t="shared" si="111"/>
        <v>0</v>
      </c>
      <c r="CJ10" s="91">
        <f t="shared" si="112"/>
        <v>0</v>
      </c>
      <c r="CK10" s="91">
        <f t="shared" si="113"/>
        <v>0</v>
      </c>
      <c r="CL10" s="91">
        <f t="shared" si="114"/>
        <v>0</v>
      </c>
      <c r="CM10" s="91">
        <f t="shared" si="115"/>
        <v>0</v>
      </c>
      <c r="CN10" s="91">
        <f t="shared" si="116"/>
        <v>0</v>
      </c>
      <c r="CO10" s="91">
        <f t="shared" si="117"/>
        <v>0</v>
      </c>
      <c r="CP10" s="90">
        <f t="shared" si="118"/>
        <v>0</v>
      </c>
      <c r="CQ10" s="106" t="e">
        <f t="shared" si="119"/>
        <v>#DIV/0!</v>
      </c>
      <c r="CR10" s="91" t="e">
        <f t="shared" si="120"/>
        <v>#DIV/0!</v>
      </c>
      <c r="CS10" s="91" t="e">
        <f t="shared" si="121"/>
        <v>#DIV/0!</v>
      </c>
      <c r="CT10" s="91" t="e">
        <f t="shared" si="122"/>
        <v>#DIV/0!</v>
      </c>
      <c r="CU10" s="91" t="e">
        <f t="shared" si="123"/>
        <v>#DIV/0!</v>
      </c>
      <c r="CV10" s="91" t="e">
        <f t="shared" si="124"/>
        <v>#DIV/0!</v>
      </c>
      <c r="CW10" s="91" t="e">
        <f t="shared" si="125"/>
        <v>#DIV/0!</v>
      </c>
      <c r="CX10" s="91" t="e">
        <f t="shared" si="126"/>
        <v>#DIV/0!</v>
      </c>
      <c r="CY10" s="91" t="e">
        <f t="shared" si="127"/>
        <v>#DIV/0!</v>
      </c>
      <c r="CZ10" s="91" t="e">
        <f t="shared" si="128"/>
        <v>#DIV/0!</v>
      </c>
      <c r="DA10" s="91" t="e">
        <f t="shared" si="129"/>
        <v>#DIV/0!</v>
      </c>
      <c r="DB10" s="91" t="e">
        <f t="shared" si="130"/>
        <v>#DIV/0!</v>
      </c>
      <c r="DC10" s="91" t="e">
        <f t="shared" si="131"/>
        <v>#DIV/0!</v>
      </c>
      <c r="DD10" s="91" t="e">
        <f t="shared" si="132"/>
        <v>#DIV/0!</v>
      </c>
      <c r="DE10" s="91" t="e">
        <f t="shared" si="133"/>
        <v>#DIV/0!</v>
      </c>
      <c r="DF10" s="91" t="e">
        <f t="shared" si="134"/>
        <v>#DIV/0!</v>
      </c>
      <c r="DG10" s="91" t="e">
        <f t="shared" si="135"/>
        <v>#DIV/0!</v>
      </c>
      <c r="DH10" s="92" t="e">
        <f t="shared" si="136"/>
        <v>#DIV/0!</v>
      </c>
      <c r="DI10" s="93">
        <f t="shared" si="137"/>
        <v>0</v>
      </c>
      <c r="DJ10" s="94">
        <f t="shared" si="6"/>
        <v>0.99696839999999998</v>
      </c>
      <c r="DK10" s="95">
        <f t="shared" si="7"/>
        <v>1.9462343341503265</v>
      </c>
      <c r="DL10" s="95">
        <f t="shared" si="138"/>
        <v>1.1872803799052132</v>
      </c>
      <c r="DM10" s="95">
        <f t="shared" si="8"/>
        <v>1.8249782066993463</v>
      </c>
      <c r="DN10" s="95">
        <f t="shared" si="139"/>
        <v>1.2153167184029752</v>
      </c>
      <c r="DO10" s="95">
        <f t="shared" si="9"/>
        <v>1.8249782066993463</v>
      </c>
      <c r="DP10" s="95">
        <f t="shared" si="140"/>
        <v>1.2153167184029752</v>
      </c>
      <c r="DQ10" s="96">
        <f t="shared" si="10"/>
        <v>109.80514886541725</v>
      </c>
      <c r="DR10" s="96">
        <f t="shared" si="11"/>
        <v>103.87661769731351</v>
      </c>
      <c r="DS10" s="97">
        <f t="shared" si="12"/>
        <v>103.87661769731351</v>
      </c>
      <c r="DT10" s="98">
        <f t="shared" si="13"/>
        <v>8.7871092355080416E-8</v>
      </c>
      <c r="DU10" s="98">
        <f t="shared" si="14"/>
        <v>6.5564427584955254E-8</v>
      </c>
      <c r="DV10" s="98">
        <f t="shared" si="15"/>
        <v>9.161150862326544E-8</v>
      </c>
      <c r="DW10" s="98">
        <f t="shared" si="16"/>
        <v>1.0000000000000001E-7</v>
      </c>
      <c r="DX10" s="98">
        <f t="shared" si="17"/>
        <v>9.3852635210712058E-8</v>
      </c>
      <c r="DY10" s="98">
        <f t="shared" si="18"/>
        <v>9.374697391330783E-8</v>
      </c>
      <c r="DZ10" s="98">
        <f t="shared" si="19"/>
        <v>2.3938469323386648E-7</v>
      </c>
      <c r="EA10" s="98">
        <f t="shared" si="20"/>
        <v>0</v>
      </c>
      <c r="EB10" s="98">
        <f t="shared" si="21"/>
        <v>0</v>
      </c>
      <c r="EC10" s="98">
        <f t="shared" si="22"/>
        <v>0</v>
      </c>
      <c r="ED10" s="98">
        <f t="shared" si="23"/>
        <v>0</v>
      </c>
      <c r="EE10" s="98">
        <f t="shared" si="24"/>
        <v>0</v>
      </c>
      <c r="EF10" s="98">
        <f t="shared" si="25"/>
        <v>0</v>
      </c>
      <c r="EG10" s="98">
        <f t="shared" si="26"/>
        <v>0</v>
      </c>
      <c r="EH10" s="98">
        <f t="shared" si="27"/>
        <v>0</v>
      </c>
      <c r="EI10" s="98">
        <f t="shared" si="28"/>
        <v>0</v>
      </c>
      <c r="EJ10" s="98">
        <f t="shared" si="29"/>
        <v>0</v>
      </c>
      <c r="EK10" s="99">
        <f t="shared" si="30"/>
        <v>0</v>
      </c>
      <c r="EL10" s="98">
        <f t="shared" si="31"/>
        <v>6.5510685143312612E-7</v>
      </c>
      <c r="EM10" s="98">
        <f t="shared" si="32"/>
        <v>4.8908011765180444E-7</v>
      </c>
      <c r="EN10" s="98">
        <f t="shared" si="33"/>
        <v>6.8770596170678877E-7</v>
      </c>
      <c r="EO10" s="98">
        <f t="shared" si="34"/>
        <v>7.4872545757077468E-7</v>
      </c>
      <c r="EP10" s="98">
        <f t="shared" si="35"/>
        <v>7.0476711300394234E-7</v>
      </c>
      <c r="EQ10" s="98">
        <f t="shared" si="36"/>
        <v>7.0308091474328115E-7</v>
      </c>
      <c r="ER10" s="98">
        <f t="shared" si="37"/>
        <v>1.8081337030409694E-6</v>
      </c>
      <c r="ES10" s="98">
        <f t="shared" si="38"/>
        <v>0</v>
      </c>
      <c r="ET10" s="98">
        <f t="shared" si="39"/>
        <v>0</v>
      </c>
      <c r="EU10" s="98">
        <f t="shared" si="40"/>
        <v>0</v>
      </c>
      <c r="EV10" s="98">
        <f t="shared" si="41"/>
        <v>0</v>
      </c>
      <c r="EW10" s="98">
        <f t="shared" si="42"/>
        <v>0</v>
      </c>
      <c r="EX10" s="98">
        <f t="shared" si="43"/>
        <v>0</v>
      </c>
      <c r="EY10" s="98">
        <f t="shared" si="44"/>
        <v>0</v>
      </c>
      <c r="EZ10" s="98">
        <f t="shared" si="45"/>
        <v>0</v>
      </c>
      <c r="FA10" s="98">
        <f t="shared" si="46"/>
        <v>0</v>
      </c>
      <c r="FB10" s="98">
        <f t="shared" si="47"/>
        <v>0</v>
      </c>
      <c r="FC10" s="98">
        <f t="shared" si="48"/>
        <v>0</v>
      </c>
      <c r="FD10" s="100" t="e">
        <f t="shared" si="49"/>
        <v>#DIV/0!</v>
      </c>
      <c r="FE10" s="98" t="e">
        <f t="shared" si="50"/>
        <v>#DIV/0!</v>
      </c>
      <c r="FF10" s="98" t="e">
        <f t="shared" si="51"/>
        <v>#DIV/0!</v>
      </c>
      <c r="FG10" s="98" t="e">
        <f t="shared" si="52"/>
        <v>#DIV/0!</v>
      </c>
      <c r="FH10" s="98" t="e">
        <f t="shared" si="53"/>
        <v>#DIV/0!</v>
      </c>
      <c r="FI10" s="98" t="e">
        <f t="shared" si="54"/>
        <v>#DIV/0!</v>
      </c>
      <c r="FJ10" s="98" t="e">
        <f t="shared" si="55"/>
        <v>#DIV/0!</v>
      </c>
      <c r="FK10" s="98" t="e">
        <f t="shared" si="56"/>
        <v>#DIV/0!</v>
      </c>
      <c r="FL10" s="98" t="e">
        <f t="shared" si="57"/>
        <v>#DIV/0!</v>
      </c>
      <c r="FM10" s="98" t="e">
        <f t="shared" si="58"/>
        <v>#DIV/0!</v>
      </c>
      <c r="FN10" s="98" t="e">
        <f t="shared" si="59"/>
        <v>#DIV/0!</v>
      </c>
      <c r="FO10" s="98" t="e">
        <f t="shared" si="60"/>
        <v>#DIV/0!</v>
      </c>
      <c r="FP10" s="98" t="e">
        <f t="shared" si="61"/>
        <v>#DIV/0!</v>
      </c>
      <c r="FQ10" s="98" t="e">
        <f t="shared" si="62"/>
        <v>#DIV/0!</v>
      </c>
      <c r="FR10" s="98" t="e">
        <f t="shared" si="63"/>
        <v>#DIV/0!</v>
      </c>
      <c r="FS10" s="98" t="e">
        <f t="shared" si="64"/>
        <v>#DIV/0!</v>
      </c>
      <c r="FT10" s="98" t="e">
        <f t="shared" si="65"/>
        <v>#DIV/0!</v>
      </c>
      <c r="FU10" s="98" t="e">
        <f t="shared" si="66"/>
        <v>#DIV/0!</v>
      </c>
      <c r="FV10" s="101">
        <f>IF(B10='Process DB'!$D$27,IF(AB10&gt;$FX$4,1,0),0)</f>
        <v>0</v>
      </c>
      <c r="FW10" s="50">
        <f>IF(B10='Process DB'!$D$27,IF(AC10&gt;$FX$4,1,0),0)</f>
        <v>0</v>
      </c>
      <c r="FX10" s="50">
        <f>IF(B10='Process DB'!$D$27,IF(AD10&gt;$FX$4,1,0),0)</f>
        <v>0</v>
      </c>
      <c r="FY10" s="41"/>
      <c r="GB10" s="101">
        <f>IF(GB$7&gt;0,IF(B10='Process DB'!$D$13,IF(AB10&gt;$GD$4,1,0),0),0)</f>
        <v>0</v>
      </c>
      <c r="GC10" s="102">
        <f>IF(GC$7&gt;0,IF(B10='Process DB'!$D$13,IF(AC10&gt;$GD$4,1,0),0),0)</f>
        <v>0</v>
      </c>
      <c r="GD10" s="102" t="e">
        <f>IF(GD$7&gt;0,IF(B10='Process DB'!$D$13,IF(AD10&gt;$GD$4,1,0),0),0)</f>
        <v>#DIV/0!</v>
      </c>
      <c r="GE10" s="103">
        <f t="shared" si="67"/>
        <v>-1.3785033863482881E-5</v>
      </c>
      <c r="GF10" s="78">
        <f t="shared" si="67"/>
        <v>-5.8120962307037455E-4</v>
      </c>
    </row>
    <row r="11" spans="1:189" ht="15" customHeight="1">
      <c r="B11" s="19" t="str">
        <f>VLOOKUP('Process DS'!$D10,'Process DB'!$C$7:$AA$41,B$4)</f>
        <v>N2</v>
      </c>
      <c r="C11" s="17">
        <f>VLOOKUP('Process DS'!$D10,'Process DB'!$C$7:$AA$41,C$4)</f>
        <v>28.013400000000001</v>
      </c>
      <c r="D11" s="18">
        <f>VLOOKUP('Process DS'!$D10,'Process DB'!$C$7:$AA$41,D$4)</f>
        <v>0</v>
      </c>
      <c r="E11" s="19">
        <f>VLOOKUP('Process DS'!$D10,'Process DB'!$C$7:$AA$41,E$4)</f>
        <v>0</v>
      </c>
      <c r="F11" s="19">
        <f>VLOOKUP('Process DS'!$D10,'Process DB'!$C$7:$AA$41,F$4)</f>
        <v>0</v>
      </c>
      <c r="G11" s="20">
        <f>VLOOKUP('Process DS'!$D10,'Process DB'!$C$7:$AA$41,G$4)</f>
        <v>126.2</v>
      </c>
      <c r="H11" s="20">
        <f>VLOOKUP('Process DS'!$D10,'Process DB'!$C$7:$AA$41,H$4)</f>
        <v>33.9</v>
      </c>
      <c r="I11" s="21">
        <f>VLOOKUP('Process DS'!$D10,'Process DB'!$C$7:$AA$41,I$4)</f>
        <v>89.8</v>
      </c>
      <c r="J11" s="14">
        <f>VLOOKUP('Process DS'!$D10,'Process DB'!$C$7:$AA$41,J$4)</f>
        <v>0.28999999999999998</v>
      </c>
      <c r="K11" s="14">
        <f>VLOOKUP('Process DS'!$D10,'Process DB'!$C$7:$AA$41,K$4)</f>
        <v>3.9E-2</v>
      </c>
      <c r="L11" s="21">
        <f>VLOOKUP('Process DS'!$D10,'Process DB'!$C$7:$AA$41,L$4)</f>
        <v>0</v>
      </c>
      <c r="M11" s="14">
        <f>VLOOKUP('Process DS'!$D10,'Process DB'!$C$7:$AA$41,M$4)</f>
        <v>31.15</v>
      </c>
      <c r="N11" s="15">
        <f>VLOOKUP('Process DS'!$D10,'Process DB'!$C$7:$AA$41,N$4)</f>
        <v>-1.357E-2</v>
      </c>
      <c r="O11" s="15">
        <f>VLOOKUP('Process DS'!$D10,'Process DB'!$C$7:$AA$41,O$4)</f>
        <v>2.6800000000000001E-5</v>
      </c>
      <c r="P11" s="15">
        <f>VLOOKUP('Process DS'!$D10,'Process DB'!$C$7:$AA$41,P$4)</f>
        <v>-1.1679999999999999E-8</v>
      </c>
      <c r="Q11" s="15">
        <f>VLOOKUP('Process DS'!$D10,'Process DB'!$C$7:$AA$41,Q$4)</f>
        <v>3.9189999999999998E-4</v>
      </c>
      <c r="R11" s="15">
        <f>VLOOKUP('Process DS'!$D10,'Process DB'!$C$7:$AA$41,R$4)</f>
        <v>9.8159999999999995E-5</v>
      </c>
      <c r="S11" s="15">
        <f>VLOOKUP('Process DS'!$D10,'Process DB'!$C$7:$AA$41,S$4)</f>
        <v>-5.0670000000000003E-8</v>
      </c>
      <c r="T11" s="15">
        <f>VLOOKUP('Process DS'!$D10,'Process DB'!$C$7:$AA$41,T$4)</f>
        <v>1.5040000000000001E-11</v>
      </c>
      <c r="U11" s="17">
        <f>VLOOKUP('Process DS'!$D10,'Process DB'!$C$7:$AA$41,U$4)</f>
        <v>0</v>
      </c>
      <c r="V11" s="12">
        <f>VLOOKUP('Process DS'!$D10,'Process DB'!$C$7:$AA$41,V$4)</f>
        <v>0</v>
      </c>
      <c r="W11" s="15">
        <f>VLOOKUP('Process DS'!$D10,'Process DB'!$C$7:$AA$41,W$4)</f>
        <v>0</v>
      </c>
      <c r="X11" s="15">
        <f>VLOOKUP('Process DS'!$D10,'Process DB'!$C$7:$AA$41,X$4)</f>
        <v>0</v>
      </c>
      <c r="Y11" s="15">
        <f>VLOOKUP('Process DS'!$D10,'Process DB'!$C$7:$AA$41,Y$4)</f>
        <v>0</v>
      </c>
      <c r="Z11" s="17"/>
      <c r="AB11" s="76">
        <f t="shared" si="1"/>
        <v>4.0000000000000003E-7</v>
      </c>
      <c r="AC11" s="77">
        <f t="shared" si="68"/>
        <v>2.2461763727123243E-4</v>
      </c>
      <c r="AD11" s="76" t="e">
        <f t="shared" si="69"/>
        <v>#DIV/0!</v>
      </c>
      <c r="AF11" s="78">
        <f t="shared" si="2"/>
        <v>1.1205360000000002E-5</v>
      </c>
      <c r="AG11" s="78">
        <f t="shared" si="2"/>
        <v>6.2923037199339423E-3</v>
      </c>
      <c r="AH11" s="79" t="e">
        <f t="shared" si="2"/>
        <v>#DIV/0!</v>
      </c>
      <c r="AI11" s="80">
        <f t="shared" si="70"/>
        <v>0</v>
      </c>
      <c r="AJ11" s="80">
        <f t="shared" si="70"/>
        <v>0</v>
      </c>
      <c r="AK11" s="81" t="e">
        <f t="shared" si="70"/>
        <v>#DIV/0!</v>
      </c>
      <c r="AL11" s="105">
        <f t="shared" si="71"/>
        <v>0</v>
      </c>
      <c r="AM11" s="82">
        <f t="shared" si="71"/>
        <v>0</v>
      </c>
      <c r="AN11" s="81" t="e">
        <f t="shared" si="71"/>
        <v>#DIV/0!</v>
      </c>
      <c r="AO11" s="84">
        <f t="shared" si="72"/>
        <v>0</v>
      </c>
      <c r="AP11" s="84">
        <f t="shared" si="73"/>
        <v>0</v>
      </c>
      <c r="AQ11" s="84">
        <f t="shared" si="74"/>
        <v>0</v>
      </c>
      <c r="AR11" s="84">
        <f t="shared" si="75"/>
        <v>0</v>
      </c>
      <c r="AS11" s="84" t="e">
        <f t="shared" si="76"/>
        <v>#DIV/0!</v>
      </c>
      <c r="AT11" s="85" t="e">
        <f t="shared" si="77"/>
        <v>#DIV/0!</v>
      </c>
      <c r="AU11" s="83">
        <f t="shared" si="78"/>
        <v>0</v>
      </c>
      <c r="AV11" s="83">
        <f t="shared" si="79"/>
        <v>0</v>
      </c>
      <c r="AW11" s="83">
        <f t="shared" si="3"/>
        <v>0</v>
      </c>
      <c r="AX11" s="83">
        <f t="shared" si="80"/>
        <v>0</v>
      </c>
      <c r="AY11" s="84" t="e">
        <f t="shared" si="81"/>
        <v>#DIV/0!</v>
      </c>
      <c r="AZ11" s="86" t="e">
        <f t="shared" si="82"/>
        <v>#DIV/0!</v>
      </c>
      <c r="BA11" s="87">
        <f t="shared" si="4"/>
        <v>1.1671948879714133E-5</v>
      </c>
      <c r="BB11" s="87">
        <f t="shared" si="4"/>
        <v>6.5589999330615718E-3</v>
      </c>
      <c r="BC11" s="88" t="e">
        <f t="shared" si="4"/>
        <v>#DIV/0!</v>
      </c>
      <c r="BD11" s="89">
        <f t="shared" si="5"/>
        <v>2.5272294041405543E-2</v>
      </c>
      <c r="BE11" s="89">
        <f t="shared" si="5"/>
        <v>2.3935113982167865E-2</v>
      </c>
      <c r="BF11" s="90">
        <f t="shared" si="5"/>
        <v>2.3935113982167865E-2</v>
      </c>
      <c r="BG11" s="91">
        <f t="shared" si="83"/>
        <v>4.1217351370051171E-7</v>
      </c>
      <c r="BH11" s="91">
        <f t="shared" si="84"/>
        <v>2.6195661802660378E-7</v>
      </c>
      <c r="BI11" s="91">
        <f t="shared" si="85"/>
        <v>3.9401139003684057E-7</v>
      </c>
      <c r="BJ11" s="91">
        <f t="shared" si="86"/>
        <v>6.0465522303822829E-7</v>
      </c>
      <c r="BK11" s="91">
        <f t="shared" si="87"/>
        <v>4.0000000000000003E-7</v>
      </c>
      <c r="BL11" s="91">
        <f t="shared" si="88"/>
        <v>3.7926866369094886E-7</v>
      </c>
      <c r="BM11" s="91">
        <f t="shared" si="89"/>
        <v>3.1831839755470722E-6</v>
      </c>
      <c r="BN11" s="91">
        <f t="shared" si="90"/>
        <v>0</v>
      </c>
      <c r="BO11" s="91">
        <f t="shared" si="91"/>
        <v>0</v>
      </c>
      <c r="BP11" s="91">
        <f t="shared" si="92"/>
        <v>0</v>
      </c>
      <c r="BQ11" s="91">
        <f t="shared" si="93"/>
        <v>0</v>
      </c>
      <c r="BR11" s="91">
        <f t="shared" si="94"/>
        <v>0</v>
      </c>
      <c r="BS11" s="91">
        <f t="shared" si="95"/>
        <v>0</v>
      </c>
      <c r="BT11" s="91">
        <f t="shared" si="96"/>
        <v>0</v>
      </c>
      <c r="BU11" s="91">
        <f t="shared" si="97"/>
        <v>0</v>
      </c>
      <c r="BV11" s="91">
        <f t="shared" si="98"/>
        <v>0</v>
      </c>
      <c r="BW11" s="91">
        <f t="shared" si="99"/>
        <v>0</v>
      </c>
      <c r="BX11" s="90">
        <f t="shared" si="100"/>
        <v>0</v>
      </c>
      <c r="BY11" s="91">
        <f t="shared" si="101"/>
        <v>2.2906033214521002E-4</v>
      </c>
      <c r="BZ11" s="91">
        <f t="shared" si="102"/>
        <v>1.4471693781241749E-4</v>
      </c>
      <c r="CA11" s="91">
        <f t="shared" si="103"/>
        <v>2.2104636611555212E-4</v>
      </c>
      <c r="CB11" s="91">
        <f t="shared" si="104"/>
        <v>3.3386410947468178E-4</v>
      </c>
      <c r="CC11" s="91">
        <f t="shared" si="105"/>
        <v>2.2461763727123243E-4</v>
      </c>
      <c r="CD11" s="91">
        <f t="shared" si="106"/>
        <v>2.1253318188697035E-4</v>
      </c>
      <c r="CE11" s="91">
        <f t="shared" si="107"/>
        <v>1.8008449727267986E-3</v>
      </c>
      <c r="CF11" s="91">
        <f t="shared" si="108"/>
        <v>0</v>
      </c>
      <c r="CG11" s="91">
        <f t="shared" si="109"/>
        <v>0</v>
      </c>
      <c r="CH11" s="91">
        <f t="shared" si="110"/>
        <v>0</v>
      </c>
      <c r="CI11" s="91">
        <f t="shared" si="111"/>
        <v>0</v>
      </c>
      <c r="CJ11" s="91">
        <f t="shared" si="112"/>
        <v>0</v>
      </c>
      <c r="CK11" s="91">
        <f t="shared" si="113"/>
        <v>0</v>
      </c>
      <c r="CL11" s="91">
        <f t="shared" si="114"/>
        <v>0</v>
      </c>
      <c r="CM11" s="91">
        <f t="shared" si="115"/>
        <v>0</v>
      </c>
      <c r="CN11" s="91">
        <f t="shared" si="116"/>
        <v>0</v>
      </c>
      <c r="CO11" s="91">
        <f t="shared" si="117"/>
        <v>0</v>
      </c>
      <c r="CP11" s="90">
        <f t="shared" si="118"/>
        <v>0</v>
      </c>
      <c r="CQ11" s="106" t="e">
        <f t="shared" si="119"/>
        <v>#DIV/0!</v>
      </c>
      <c r="CR11" s="91" t="e">
        <f t="shared" si="120"/>
        <v>#DIV/0!</v>
      </c>
      <c r="CS11" s="91" t="e">
        <f t="shared" si="121"/>
        <v>#DIV/0!</v>
      </c>
      <c r="CT11" s="91" t="e">
        <f t="shared" si="122"/>
        <v>#DIV/0!</v>
      </c>
      <c r="CU11" s="91" t="e">
        <f t="shared" si="123"/>
        <v>#DIV/0!</v>
      </c>
      <c r="CV11" s="91" t="e">
        <f t="shared" si="124"/>
        <v>#DIV/0!</v>
      </c>
      <c r="CW11" s="91" t="e">
        <f t="shared" si="125"/>
        <v>#DIV/0!</v>
      </c>
      <c r="CX11" s="91" t="e">
        <f t="shared" si="126"/>
        <v>#DIV/0!</v>
      </c>
      <c r="CY11" s="91" t="e">
        <f t="shared" si="127"/>
        <v>#DIV/0!</v>
      </c>
      <c r="CZ11" s="91" t="e">
        <f t="shared" si="128"/>
        <v>#DIV/0!</v>
      </c>
      <c r="DA11" s="91" t="e">
        <f t="shared" si="129"/>
        <v>#DIV/0!</v>
      </c>
      <c r="DB11" s="91" t="e">
        <f t="shared" si="130"/>
        <v>#DIV/0!</v>
      </c>
      <c r="DC11" s="91" t="e">
        <f t="shared" si="131"/>
        <v>#DIV/0!</v>
      </c>
      <c r="DD11" s="91" t="e">
        <f t="shared" si="132"/>
        <v>#DIV/0!</v>
      </c>
      <c r="DE11" s="91" t="e">
        <f t="shared" si="133"/>
        <v>#DIV/0!</v>
      </c>
      <c r="DF11" s="91" t="e">
        <f t="shared" si="134"/>
        <v>#DIV/0!</v>
      </c>
      <c r="DG11" s="91" t="e">
        <f t="shared" si="135"/>
        <v>#DIV/0!</v>
      </c>
      <c r="DH11" s="92" t="e">
        <f t="shared" si="136"/>
        <v>#DIV/0!</v>
      </c>
      <c r="DI11" s="93">
        <f t="shared" si="137"/>
        <v>0</v>
      </c>
      <c r="DJ11" s="94">
        <f t="shared" si="6"/>
        <v>0.98925160000000001</v>
      </c>
      <c r="DK11" s="95">
        <f t="shared" si="7"/>
        <v>2.9363155088924104</v>
      </c>
      <c r="DL11" s="95">
        <f t="shared" si="138"/>
        <v>1.045397106984945</v>
      </c>
      <c r="DM11" s="95">
        <f t="shared" si="8"/>
        <v>2.7533744101074134</v>
      </c>
      <c r="DN11" s="95">
        <f t="shared" si="139"/>
        <v>1.0640922451596191</v>
      </c>
      <c r="DO11" s="95">
        <f t="shared" si="9"/>
        <v>2.7533744101074134</v>
      </c>
      <c r="DP11" s="95">
        <f t="shared" si="140"/>
        <v>1.0640922451596191</v>
      </c>
      <c r="DQ11" s="96">
        <f t="shared" si="10"/>
        <v>174.73948692306442</v>
      </c>
      <c r="DR11" s="96">
        <f t="shared" si="11"/>
        <v>166.23571982932174</v>
      </c>
      <c r="DS11" s="97">
        <f t="shared" si="12"/>
        <v>166.23571982932174</v>
      </c>
      <c r="DT11" s="98">
        <f t="shared" si="13"/>
        <v>3.6658783335100387E-7</v>
      </c>
      <c r="DU11" s="98">
        <f t="shared" si="14"/>
        <v>2.9048999775090947E-7</v>
      </c>
      <c r="DV11" s="98">
        <f t="shared" si="15"/>
        <v>3.9086723462265591E-7</v>
      </c>
      <c r="DW11" s="98">
        <f t="shared" si="16"/>
        <v>4.1193905557770933E-7</v>
      </c>
      <c r="DX11" s="98">
        <f t="shared" si="17"/>
        <v>4.0000000000000003E-7</v>
      </c>
      <c r="DY11" s="98">
        <f t="shared" si="18"/>
        <v>4.0239230073538397E-7</v>
      </c>
      <c r="DZ11" s="98">
        <f t="shared" si="19"/>
        <v>8.9129068243943934E-7</v>
      </c>
      <c r="EA11" s="98">
        <f t="shared" si="20"/>
        <v>0</v>
      </c>
      <c r="EB11" s="98">
        <f t="shared" si="21"/>
        <v>0</v>
      </c>
      <c r="EC11" s="98">
        <f t="shared" si="22"/>
        <v>0</v>
      </c>
      <c r="ED11" s="98">
        <f t="shared" si="23"/>
        <v>0</v>
      </c>
      <c r="EE11" s="98">
        <f t="shared" si="24"/>
        <v>0</v>
      </c>
      <c r="EF11" s="98">
        <f t="shared" si="25"/>
        <v>0</v>
      </c>
      <c r="EG11" s="98">
        <f t="shared" si="26"/>
        <v>0</v>
      </c>
      <c r="EH11" s="98">
        <f t="shared" si="27"/>
        <v>0</v>
      </c>
      <c r="EI11" s="98">
        <f t="shared" si="28"/>
        <v>0</v>
      </c>
      <c r="EJ11" s="98">
        <f t="shared" si="29"/>
        <v>0</v>
      </c>
      <c r="EK11" s="99">
        <f t="shared" si="30"/>
        <v>0</v>
      </c>
      <c r="EL11" s="98">
        <f t="shared" si="31"/>
        <v>2.0450261261345361E-4</v>
      </c>
      <c r="EM11" s="98">
        <f t="shared" si="32"/>
        <v>1.6214050956344752E-4</v>
      </c>
      <c r="EN11" s="98">
        <f t="shared" si="33"/>
        <v>2.1942544479139475E-4</v>
      </c>
      <c r="EO11" s="98">
        <f t="shared" si="34"/>
        <v>2.3070403703216358E-4</v>
      </c>
      <c r="EP11" s="98">
        <f t="shared" si="35"/>
        <v>2.2461763727123243E-4</v>
      </c>
      <c r="EQ11" s="98">
        <f t="shared" si="36"/>
        <v>2.256752396362311E-4</v>
      </c>
      <c r="ER11" s="98">
        <f t="shared" si="37"/>
        <v>5.0301706492961108E-4</v>
      </c>
      <c r="ES11" s="98">
        <f t="shared" si="38"/>
        <v>0</v>
      </c>
      <c r="ET11" s="98">
        <f t="shared" si="39"/>
        <v>0</v>
      </c>
      <c r="EU11" s="98">
        <f t="shared" si="40"/>
        <v>0</v>
      </c>
      <c r="EV11" s="98">
        <f t="shared" si="41"/>
        <v>0</v>
      </c>
      <c r="EW11" s="98">
        <f t="shared" si="42"/>
        <v>0</v>
      </c>
      <c r="EX11" s="98">
        <f t="shared" si="43"/>
        <v>0</v>
      </c>
      <c r="EY11" s="98">
        <f t="shared" si="44"/>
        <v>0</v>
      </c>
      <c r="EZ11" s="98">
        <f t="shared" si="45"/>
        <v>0</v>
      </c>
      <c r="FA11" s="98">
        <f t="shared" si="46"/>
        <v>0</v>
      </c>
      <c r="FB11" s="98">
        <f t="shared" si="47"/>
        <v>0</v>
      </c>
      <c r="FC11" s="98">
        <f t="shared" si="48"/>
        <v>0</v>
      </c>
      <c r="FD11" s="100" t="e">
        <f t="shared" si="49"/>
        <v>#DIV/0!</v>
      </c>
      <c r="FE11" s="98" t="e">
        <f t="shared" si="50"/>
        <v>#DIV/0!</v>
      </c>
      <c r="FF11" s="98" t="e">
        <f t="shared" si="51"/>
        <v>#DIV/0!</v>
      </c>
      <c r="FG11" s="98" t="e">
        <f t="shared" si="52"/>
        <v>#DIV/0!</v>
      </c>
      <c r="FH11" s="98" t="e">
        <f t="shared" si="53"/>
        <v>#DIV/0!</v>
      </c>
      <c r="FI11" s="98" t="e">
        <f t="shared" si="54"/>
        <v>#DIV/0!</v>
      </c>
      <c r="FJ11" s="98" t="e">
        <f t="shared" si="55"/>
        <v>#DIV/0!</v>
      </c>
      <c r="FK11" s="98" t="e">
        <f t="shared" si="56"/>
        <v>#DIV/0!</v>
      </c>
      <c r="FL11" s="98" t="e">
        <f t="shared" si="57"/>
        <v>#DIV/0!</v>
      </c>
      <c r="FM11" s="98" t="e">
        <f t="shared" si="58"/>
        <v>#DIV/0!</v>
      </c>
      <c r="FN11" s="98" t="e">
        <f t="shared" si="59"/>
        <v>#DIV/0!</v>
      </c>
      <c r="FO11" s="98" t="e">
        <f t="shared" si="60"/>
        <v>#DIV/0!</v>
      </c>
      <c r="FP11" s="98" t="e">
        <f t="shared" si="61"/>
        <v>#DIV/0!</v>
      </c>
      <c r="FQ11" s="98" t="e">
        <f t="shared" si="62"/>
        <v>#DIV/0!</v>
      </c>
      <c r="FR11" s="98" t="e">
        <f t="shared" si="63"/>
        <v>#DIV/0!</v>
      </c>
      <c r="FS11" s="98" t="e">
        <f t="shared" si="64"/>
        <v>#DIV/0!</v>
      </c>
      <c r="FT11" s="98" t="e">
        <f t="shared" si="65"/>
        <v>#DIV/0!</v>
      </c>
      <c r="FU11" s="98" t="e">
        <f t="shared" si="66"/>
        <v>#DIV/0!</v>
      </c>
      <c r="FV11" s="101">
        <f>IF(B11='Process DB'!$D$27,IF(AB11&gt;$FX$4,1,0),0)</f>
        <v>0</v>
      </c>
      <c r="FW11" s="50">
        <f>IF(B11='Process DB'!$D$27,IF(AC11&gt;$FX$4,1,0),0)</f>
        <v>0</v>
      </c>
      <c r="FX11" s="50">
        <f>IF(B11='Process DB'!$D$27,IF(AD11&gt;$FX$4,1,0),0)</f>
        <v>0</v>
      </c>
      <c r="FY11" s="41"/>
      <c r="GB11" s="101">
        <f>IF(GB$7&gt;0,IF(B11='Process DB'!$D$13,IF(AB11&gt;$GD$4,1,0),0),0)</f>
        <v>0</v>
      </c>
      <c r="GC11" s="102">
        <f>IF(GC$7&gt;0,IF(B11='Process DB'!$D$13,IF(AC11&gt;$GD$4,1,0),0),0)</f>
        <v>0</v>
      </c>
      <c r="GD11" s="102" t="e">
        <f>IF(GD$7&gt;0,IF(B11='Process DB'!$D$13,IF(AD11&gt;$GD$4,1,0),0),0)</f>
        <v>#DIV/0!</v>
      </c>
      <c r="GE11" s="103">
        <f t="shared" si="67"/>
        <v>-4.5388525698734442E-5</v>
      </c>
      <c r="GF11" s="78">
        <f t="shared" si="67"/>
        <v>-0.14568915789893425</v>
      </c>
    </row>
    <row r="12" spans="1:189" ht="15" customHeight="1">
      <c r="B12" s="19" t="str">
        <f>VLOOKUP('Process DS'!$D11,'Process DB'!$C$7:$AA$41,B$4)</f>
        <v>O2</v>
      </c>
      <c r="C12" s="17">
        <f>VLOOKUP('Process DS'!$D11,'Process DB'!$C$7:$AA$41,C$4)</f>
        <v>31.998799999999999</v>
      </c>
      <c r="D12" s="18">
        <f>VLOOKUP('Process DS'!$D11,'Process DB'!$C$7:$AA$41,D$4)</f>
        <v>0</v>
      </c>
      <c r="E12" s="19">
        <f>VLOOKUP('Process DS'!$D11,'Process DB'!$C$7:$AA$41,E$4)</f>
        <v>0</v>
      </c>
      <c r="F12" s="19">
        <f>VLOOKUP('Process DS'!$D11,'Process DB'!$C$7:$AA$41,F$4)</f>
        <v>0</v>
      </c>
      <c r="G12" s="20">
        <f>VLOOKUP('Process DS'!$D11,'Process DB'!$C$7:$AA$41,G$4)</f>
        <v>154.6</v>
      </c>
      <c r="H12" s="20">
        <f>VLOOKUP('Process DS'!$D11,'Process DB'!$C$7:$AA$41,H$4)</f>
        <v>50.4</v>
      </c>
      <c r="I12" s="21">
        <f>VLOOKUP('Process DS'!$D11,'Process DB'!$C$7:$AA$41,I$4)</f>
        <v>73.400000000000006</v>
      </c>
      <c r="J12" s="14">
        <f>VLOOKUP('Process DS'!$D11,'Process DB'!$C$7:$AA$41,J$4)</f>
        <v>0.28799999999999998</v>
      </c>
      <c r="K12" s="14">
        <f>VLOOKUP('Process DS'!$D11,'Process DB'!$C$7:$AA$41,K$4)</f>
        <v>2.5000000000000001E-2</v>
      </c>
      <c r="L12" s="21">
        <f>VLOOKUP('Process DS'!$D11,'Process DB'!$C$7:$AA$41,L$4)</f>
        <v>0</v>
      </c>
      <c r="M12" s="14">
        <f>VLOOKUP('Process DS'!$D11,'Process DB'!$C$7:$AA$41,M$4)</f>
        <v>28.11</v>
      </c>
      <c r="N12" s="15">
        <f>VLOOKUP('Process DS'!$D11,'Process DB'!$C$7:$AA$41,N$4)</f>
        <v>-3.6799999999999999E-6</v>
      </c>
      <c r="O12" s="15">
        <f>VLOOKUP('Process DS'!$D11,'Process DB'!$C$7:$AA$41,O$4)</f>
        <v>1.7459999999999999E-5</v>
      </c>
      <c r="P12" s="15">
        <f>VLOOKUP('Process DS'!$D11,'Process DB'!$C$7:$AA$41,P$4)</f>
        <v>-1.0649999999999999E-8</v>
      </c>
      <c r="Q12" s="15">
        <f>VLOOKUP('Process DS'!$D11,'Process DB'!$C$7:$AA$41,Q$4)</f>
        <v>-3.2729999999999999E-4</v>
      </c>
      <c r="R12" s="15">
        <f>VLOOKUP('Process DS'!$D11,'Process DB'!$C$7:$AA$41,R$4)</f>
        <v>9.9660000000000005E-5</v>
      </c>
      <c r="S12" s="15">
        <f>VLOOKUP('Process DS'!$D11,'Process DB'!$C$7:$AA$41,S$4)</f>
        <v>-3.7429999999999998E-8</v>
      </c>
      <c r="T12" s="15">
        <f>VLOOKUP('Process DS'!$D11,'Process DB'!$C$7:$AA$41,T$4)</f>
        <v>9.7319999999999993E-12</v>
      </c>
      <c r="U12" s="17">
        <f>VLOOKUP('Process DS'!$D11,'Process DB'!$C$7:$AA$41,U$4)</f>
        <v>0</v>
      </c>
      <c r="V12" s="12">
        <f>VLOOKUP('Process DS'!$D11,'Process DB'!$C$7:$AA$41,V$4)</f>
        <v>0</v>
      </c>
      <c r="W12" s="15">
        <f>VLOOKUP('Process DS'!$D11,'Process DB'!$C$7:$AA$41,W$4)</f>
        <v>0</v>
      </c>
      <c r="X12" s="15">
        <f>VLOOKUP('Process DS'!$D11,'Process DB'!$C$7:$AA$41,X$4)</f>
        <v>0</v>
      </c>
      <c r="Y12" s="15">
        <f>VLOOKUP('Process DS'!$D11,'Process DB'!$C$7:$AA$41,Y$4)</f>
        <v>0</v>
      </c>
      <c r="Z12" s="17"/>
      <c r="AB12" s="76">
        <f t="shared" si="1"/>
        <v>1.0000000000000001E-7</v>
      </c>
      <c r="AC12" s="77">
        <f t="shared" si="68"/>
        <v>2.2461763727123243E-4</v>
      </c>
      <c r="AD12" s="76" t="e">
        <f t="shared" si="69"/>
        <v>#DIV/0!</v>
      </c>
      <c r="AF12" s="78">
        <f t="shared" si="2"/>
        <v>3.1998800000000004E-6</v>
      </c>
      <c r="AG12" s="78">
        <f t="shared" si="2"/>
        <v>7.187494851514712E-3</v>
      </c>
      <c r="AH12" s="79" t="e">
        <f t="shared" si="2"/>
        <v>#DIV/0!</v>
      </c>
      <c r="AI12" s="80">
        <f t="shared" si="70"/>
        <v>0</v>
      </c>
      <c r="AJ12" s="80">
        <f t="shared" si="70"/>
        <v>0</v>
      </c>
      <c r="AK12" s="81" t="e">
        <f t="shared" si="70"/>
        <v>#DIV/0!</v>
      </c>
      <c r="AL12" s="105">
        <f t="shared" si="71"/>
        <v>0</v>
      </c>
      <c r="AM12" s="82">
        <f t="shared" si="71"/>
        <v>0</v>
      </c>
      <c r="AN12" s="81" t="e">
        <f t="shared" si="71"/>
        <v>#DIV/0!</v>
      </c>
      <c r="AO12" s="84">
        <f t="shared" si="72"/>
        <v>0</v>
      </c>
      <c r="AP12" s="84">
        <f t="shared" si="73"/>
        <v>0</v>
      </c>
      <c r="AQ12" s="84">
        <f t="shared" si="74"/>
        <v>0</v>
      </c>
      <c r="AR12" s="84">
        <f t="shared" si="75"/>
        <v>0</v>
      </c>
      <c r="AS12" s="84" t="e">
        <f t="shared" si="76"/>
        <v>#DIV/0!</v>
      </c>
      <c r="AT12" s="85" t="e">
        <f t="shared" si="77"/>
        <v>#DIV/0!</v>
      </c>
      <c r="AU12" s="83">
        <f t="shared" si="78"/>
        <v>0</v>
      </c>
      <c r="AV12" s="83">
        <f t="shared" si="79"/>
        <v>0</v>
      </c>
      <c r="AW12" s="83">
        <f t="shared" si="3"/>
        <v>0</v>
      </c>
      <c r="AX12" s="83">
        <f t="shared" si="80"/>
        <v>0</v>
      </c>
      <c r="AY12" s="84" t="e">
        <f t="shared" si="81"/>
        <v>#DIV/0!</v>
      </c>
      <c r="AZ12" s="86" t="e">
        <f t="shared" si="82"/>
        <v>#DIV/0!</v>
      </c>
      <c r="BA12" s="87">
        <f t="shared" si="4"/>
        <v>2.9349410068971154E-6</v>
      </c>
      <c r="BB12" s="87">
        <f t="shared" si="4"/>
        <v>6.5621111824752578E-3</v>
      </c>
      <c r="BC12" s="88" t="e">
        <f t="shared" si="4"/>
        <v>#DIV/0!</v>
      </c>
      <c r="BD12" s="89">
        <f t="shared" si="5"/>
        <v>2.6005684445012892E-2</v>
      </c>
      <c r="BE12" s="89">
        <f t="shared" si="5"/>
        <v>2.4526337258376101E-2</v>
      </c>
      <c r="BF12" s="90">
        <f t="shared" si="5"/>
        <v>2.4526337258376101E-2</v>
      </c>
      <c r="BG12" s="91">
        <f t="shared" si="83"/>
        <v>1.0761066726223128E-7</v>
      </c>
      <c r="BH12" s="91">
        <f t="shared" si="84"/>
        <v>6.9231751609184565E-8</v>
      </c>
      <c r="BI12" s="91">
        <f t="shared" si="85"/>
        <v>1.0366131666339829E-7</v>
      </c>
      <c r="BJ12" s="91">
        <f t="shared" si="86"/>
        <v>1.5809435973643548E-7</v>
      </c>
      <c r="BK12" s="91">
        <f t="shared" si="87"/>
        <v>1.0525220840874173E-7</v>
      </c>
      <c r="BL12" s="91">
        <f t="shared" si="88"/>
        <v>1.0000000000000001E-7</v>
      </c>
      <c r="BM12" s="91">
        <f t="shared" si="89"/>
        <v>8.2668394104168931E-7</v>
      </c>
      <c r="BN12" s="91">
        <f t="shared" si="90"/>
        <v>0</v>
      </c>
      <c r="BO12" s="91">
        <f t="shared" si="91"/>
        <v>0</v>
      </c>
      <c r="BP12" s="91">
        <f t="shared" si="92"/>
        <v>0</v>
      </c>
      <c r="BQ12" s="91">
        <f t="shared" si="93"/>
        <v>0</v>
      </c>
      <c r="BR12" s="91">
        <f t="shared" si="94"/>
        <v>0</v>
      </c>
      <c r="BS12" s="91">
        <f t="shared" si="95"/>
        <v>0</v>
      </c>
      <c r="BT12" s="91">
        <f t="shared" si="96"/>
        <v>0</v>
      </c>
      <c r="BU12" s="91">
        <f t="shared" si="97"/>
        <v>0</v>
      </c>
      <c r="BV12" s="91">
        <f t="shared" si="98"/>
        <v>0</v>
      </c>
      <c r="BW12" s="91">
        <f t="shared" si="99"/>
        <v>0</v>
      </c>
      <c r="BX12" s="90">
        <f t="shared" si="100"/>
        <v>0</v>
      </c>
      <c r="BY12" s="91">
        <f t="shared" si="101"/>
        <v>2.3967703237689808E-4</v>
      </c>
      <c r="BZ12" s="91">
        <f t="shared" si="102"/>
        <v>1.5322995970295012E-4</v>
      </c>
      <c r="CA12" s="91">
        <f t="shared" si="103"/>
        <v>2.3311079854551419E-4</v>
      </c>
      <c r="CB12" s="91">
        <f t="shared" si="104"/>
        <v>3.4995979265688788E-4</v>
      </c>
      <c r="CC12" s="91">
        <f t="shared" si="105"/>
        <v>2.3691765082683097E-4</v>
      </c>
      <c r="CD12" s="91">
        <f t="shared" si="106"/>
        <v>2.2461763727123243E-4</v>
      </c>
      <c r="CE12" s="91">
        <f t="shared" si="107"/>
        <v>1.8771017929078975E-3</v>
      </c>
      <c r="CF12" s="91">
        <f t="shared" si="108"/>
        <v>0</v>
      </c>
      <c r="CG12" s="91">
        <f t="shared" si="109"/>
        <v>0</v>
      </c>
      <c r="CH12" s="91">
        <f t="shared" si="110"/>
        <v>0</v>
      </c>
      <c r="CI12" s="91">
        <f t="shared" si="111"/>
        <v>0</v>
      </c>
      <c r="CJ12" s="91">
        <f t="shared" si="112"/>
        <v>0</v>
      </c>
      <c r="CK12" s="91">
        <f t="shared" si="113"/>
        <v>0</v>
      </c>
      <c r="CL12" s="91">
        <f t="shared" si="114"/>
        <v>0</v>
      </c>
      <c r="CM12" s="91">
        <f t="shared" si="115"/>
        <v>0</v>
      </c>
      <c r="CN12" s="91">
        <f t="shared" si="116"/>
        <v>0</v>
      </c>
      <c r="CO12" s="91">
        <f t="shared" si="117"/>
        <v>0</v>
      </c>
      <c r="CP12" s="90">
        <f t="shared" si="118"/>
        <v>0</v>
      </c>
      <c r="CQ12" s="106" t="e">
        <f t="shared" si="119"/>
        <v>#DIV/0!</v>
      </c>
      <c r="CR12" s="91" t="e">
        <f t="shared" si="120"/>
        <v>#DIV/0!</v>
      </c>
      <c r="CS12" s="91" t="e">
        <f t="shared" si="121"/>
        <v>#DIV/0!</v>
      </c>
      <c r="CT12" s="91" t="e">
        <f t="shared" si="122"/>
        <v>#DIV/0!</v>
      </c>
      <c r="CU12" s="91" t="e">
        <f t="shared" si="123"/>
        <v>#DIV/0!</v>
      </c>
      <c r="CV12" s="91" t="e">
        <f t="shared" si="124"/>
        <v>#DIV/0!</v>
      </c>
      <c r="CW12" s="91" t="e">
        <f t="shared" si="125"/>
        <v>#DIV/0!</v>
      </c>
      <c r="CX12" s="91" t="e">
        <f t="shared" si="126"/>
        <v>#DIV/0!</v>
      </c>
      <c r="CY12" s="91" t="e">
        <f t="shared" si="127"/>
        <v>#DIV/0!</v>
      </c>
      <c r="CZ12" s="91" t="e">
        <f t="shared" si="128"/>
        <v>#DIV/0!</v>
      </c>
      <c r="DA12" s="91" t="e">
        <f t="shared" si="129"/>
        <v>#DIV/0!</v>
      </c>
      <c r="DB12" s="91" t="e">
        <f t="shared" si="130"/>
        <v>#DIV/0!</v>
      </c>
      <c r="DC12" s="91" t="e">
        <f t="shared" si="131"/>
        <v>#DIV/0!</v>
      </c>
      <c r="DD12" s="91" t="e">
        <f t="shared" si="132"/>
        <v>#DIV/0!</v>
      </c>
      <c r="DE12" s="91" t="e">
        <f t="shared" si="133"/>
        <v>#DIV/0!</v>
      </c>
      <c r="DF12" s="91" t="e">
        <f t="shared" si="134"/>
        <v>#DIV/0!</v>
      </c>
      <c r="DG12" s="91" t="e">
        <f t="shared" si="135"/>
        <v>#DIV/0!</v>
      </c>
      <c r="DH12" s="92" t="e">
        <f t="shared" si="136"/>
        <v>#DIV/0!</v>
      </c>
      <c r="DI12" s="93">
        <f t="shared" si="137"/>
        <v>0</v>
      </c>
      <c r="DJ12" s="94">
        <f t="shared" si="6"/>
        <v>0.99311000000000005</v>
      </c>
      <c r="DK12" s="95">
        <f t="shared" si="7"/>
        <v>2.3969147297685782</v>
      </c>
      <c r="DL12" s="95">
        <f t="shared" si="138"/>
        <v>1.1083623102223712</v>
      </c>
      <c r="DM12" s="95">
        <f t="shared" si="8"/>
        <v>2.2475798871640076</v>
      </c>
      <c r="DN12" s="95">
        <f t="shared" si="139"/>
        <v>1.1309874298515936</v>
      </c>
      <c r="DO12" s="95">
        <f t="shared" si="9"/>
        <v>2.2475798871640076</v>
      </c>
      <c r="DP12" s="95">
        <f t="shared" si="140"/>
        <v>1.1309874298515936</v>
      </c>
      <c r="DQ12" s="96">
        <f t="shared" si="10"/>
        <v>202.27955073222049</v>
      </c>
      <c r="DR12" s="96">
        <f t="shared" si="11"/>
        <v>191.95844709757537</v>
      </c>
      <c r="DS12" s="97">
        <f t="shared" si="12"/>
        <v>191.95844709757537</v>
      </c>
      <c r="DT12" s="98">
        <f t="shared" si="13"/>
        <v>9.0675084549815502E-8</v>
      </c>
      <c r="DU12" s="98">
        <f t="shared" si="14"/>
        <v>7.2922505056722754E-8</v>
      </c>
      <c r="DV12" s="98">
        <f t="shared" si="15"/>
        <v>9.704354225240593E-8</v>
      </c>
      <c r="DW12" s="98">
        <f t="shared" si="16"/>
        <v>1.0150576519497193E-7</v>
      </c>
      <c r="DX12" s="98">
        <f t="shared" si="17"/>
        <v>9.9265107294481592E-8</v>
      </c>
      <c r="DY12" s="98">
        <f t="shared" si="18"/>
        <v>1.0000000000000001E-7</v>
      </c>
      <c r="DZ12" s="98">
        <f t="shared" si="19"/>
        <v>2.1390160935323171E-7</v>
      </c>
      <c r="EA12" s="98">
        <f t="shared" si="20"/>
        <v>0</v>
      </c>
      <c r="EB12" s="98">
        <f t="shared" si="21"/>
        <v>0</v>
      </c>
      <c r="EC12" s="98">
        <f t="shared" si="22"/>
        <v>0</v>
      </c>
      <c r="ED12" s="98">
        <f t="shared" si="23"/>
        <v>0</v>
      </c>
      <c r="EE12" s="98">
        <f t="shared" si="24"/>
        <v>0</v>
      </c>
      <c r="EF12" s="98">
        <f t="shared" si="25"/>
        <v>0</v>
      </c>
      <c r="EG12" s="98">
        <f t="shared" si="26"/>
        <v>0</v>
      </c>
      <c r="EH12" s="98">
        <f t="shared" si="27"/>
        <v>0</v>
      </c>
      <c r="EI12" s="98">
        <f t="shared" si="28"/>
        <v>0</v>
      </c>
      <c r="EJ12" s="98">
        <f t="shared" si="29"/>
        <v>0</v>
      </c>
      <c r="EK12" s="99">
        <f t="shared" si="30"/>
        <v>0</v>
      </c>
      <c r="EL12" s="98">
        <f t="shared" si="31"/>
        <v>2.0258424598654917E-4</v>
      </c>
      <c r="EM12" s="98">
        <f t="shared" si="32"/>
        <v>1.6300891934219587E-4</v>
      </c>
      <c r="EN12" s="98">
        <f t="shared" si="33"/>
        <v>2.1817701047410084E-4</v>
      </c>
      <c r="EO12" s="98">
        <f t="shared" si="34"/>
        <v>2.2766688370520638E-4</v>
      </c>
      <c r="EP12" s="98">
        <f t="shared" si="35"/>
        <v>2.2323840047864391E-4</v>
      </c>
      <c r="EQ12" s="98">
        <f t="shared" si="36"/>
        <v>2.2461763727123243E-4</v>
      </c>
      <c r="ER12" s="98">
        <f t="shared" si="37"/>
        <v>4.835678955866295E-4</v>
      </c>
      <c r="ES12" s="98">
        <f t="shared" si="38"/>
        <v>0</v>
      </c>
      <c r="ET12" s="98">
        <f t="shared" si="39"/>
        <v>0</v>
      </c>
      <c r="EU12" s="98">
        <f t="shared" si="40"/>
        <v>0</v>
      </c>
      <c r="EV12" s="98">
        <f t="shared" si="41"/>
        <v>0</v>
      </c>
      <c r="EW12" s="98">
        <f t="shared" si="42"/>
        <v>0</v>
      </c>
      <c r="EX12" s="98">
        <f t="shared" si="43"/>
        <v>0</v>
      </c>
      <c r="EY12" s="98">
        <f t="shared" si="44"/>
        <v>0</v>
      </c>
      <c r="EZ12" s="98">
        <f t="shared" si="45"/>
        <v>0</v>
      </c>
      <c r="FA12" s="98">
        <f t="shared" si="46"/>
        <v>0</v>
      </c>
      <c r="FB12" s="98">
        <f t="shared" si="47"/>
        <v>0</v>
      </c>
      <c r="FC12" s="98">
        <f t="shared" si="48"/>
        <v>0</v>
      </c>
      <c r="FD12" s="100" t="e">
        <f t="shared" si="49"/>
        <v>#DIV/0!</v>
      </c>
      <c r="FE12" s="98" t="e">
        <f t="shared" si="50"/>
        <v>#DIV/0!</v>
      </c>
      <c r="FF12" s="98" t="e">
        <f t="shared" si="51"/>
        <v>#DIV/0!</v>
      </c>
      <c r="FG12" s="98" t="e">
        <f t="shared" si="52"/>
        <v>#DIV/0!</v>
      </c>
      <c r="FH12" s="98" t="e">
        <f t="shared" si="53"/>
        <v>#DIV/0!</v>
      </c>
      <c r="FI12" s="98" t="e">
        <f t="shared" si="54"/>
        <v>#DIV/0!</v>
      </c>
      <c r="FJ12" s="98" t="e">
        <f t="shared" si="55"/>
        <v>#DIV/0!</v>
      </c>
      <c r="FK12" s="98" t="e">
        <f t="shared" si="56"/>
        <v>#DIV/0!</v>
      </c>
      <c r="FL12" s="98" t="e">
        <f t="shared" si="57"/>
        <v>#DIV/0!</v>
      </c>
      <c r="FM12" s="98" t="e">
        <f t="shared" si="58"/>
        <v>#DIV/0!</v>
      </c>
      <c r="FN12" s="98" t="e">
        <f t="shared" si="59"/>
        <v>#DIV/0!</v>
      </c>
      <c r="FO12" s="98" t="e">
        <f t="shared" si="60"/>
        <v>#DIV/0!</v>
      </c>
      <c r="FP12" s="98" t="e">
        <f t="shared" si="61"/>
        <v>#DIV/0!</v>
      </c>
      <c r="FQ12" s="98" t="e">
        <f t="shared" si="62"/>
        <v>#DIV/0!</v>
      </c>
      <c r="FR12" s="98" t="e">
        <f t="shared" si="63"/>
        <v>#DIV/0!</v>
      </c>
      <c r="FS12" s="98" t="e">
        <f t="shared" si="64"/>
        <v>#DIV/0!</v>
      </c>
      <c r="FT12" s="98" t="e">
        <f t="shared" si="65"/>
        <v>#DIV/0!</v>
      </c>
      <c r="FU12" s="98" t="e">
        <f t="shared" si="66"/>
        <v>#DIV/0!</v>
      </c>
      <c r="FV12" s="101">
        <f>IF(B12='Process DB'!$D$27,IF(AB12&gt;$FX$4,1,0),0)</f>
        <v>0</v>
      </c>
      <c r="FW12" s="50">
        <f>IF(B12='Process DB'!$D$27,IF(AC12&gt;$FX$4,1,0),0)</f>
        <v>0</v>
      </c>
      <c r="FX12" s="50">
        <f>IF(B12='Process DB'!$D$27,IF(AD12&gt;$FX$4,1,0),0)</f>
        <v>0</v>
      </c>
      <c r="FY12" s="41"/>
      <c r="GB12" s="101">
        <f>IF(GB$7&gt;0,IF(B12='Process DB'!$D$13,IF(AB12&gt;$GD$4,1,0),0),0)</f>
        <v>0</v>
      </c>
      <c r="GC12" s="102">
        <f>IF(GC$7&gt;0,IF(B12='Process DB'!$D$13,IF(AC12&gt;$GD$4,1,0),0),0)</f>
        <v>0</v>
      </c>
      <c r="GD12" s="102" t="e">
        <f>IF(GD$7&gt;0,IF(B12='Process DB'!$D$13,IF(AD12&gt;$GD$4,1,0),0),0)</f>
        <v>#DIV/0!</v>
      </c>
      <c r="GE12" s="103">
        <f t="shared" si="67"/>
        <v>-1.1419350573043248E-5</v>
      </c>
      <c r="GF12" s="78">
        <f t="shared" si="67"/>
        <v>-0.14623092362416992</v>
      </c>
    </row>
    <row r="13" spans="1:189" ht="15" customHeight="1">
      <c r="B13" s="19" t="str">
        <f>VLOOKUP('Process DS'!$D12,'Process DB'!$C$7:$AA$41,B$4)</f>
        <v>He</v>
      </c>
      <c r="C13" s="17">
        <f>VLOOKUP('Process DS'!$D12,'Process DB'!$C$7:$AA$41,C$4)</f>
        <v>4.0026020000000004</v>
      </c>
      <c r="D13" s="18">
        <f>VLOOKUP('Process DS'!$D12,'Process DB'!$C$7:$AA$41,D$4)</f>
        <v>0</v>
      </c>
      <c r="E13" s="19">
        <f>VLOOKUP('Process DS'!$D12,'Process DB'!$C$7:$AA$41,E$4)</f>
        <v>0</v>
      </c>
      <c r="F13" s="19">
        <f>VLOOKUP('Process DS'!$D12,'Process DB'!$C$7:$AA$41,F$4)</f>
        <v>0</v>
      </c>
      <c r="G13" s="20">
        <f>VLOOKUP('Process DS'!$D12,'Process DB'!$C$7:$AA$41,G$4)</f>
        <v>5.19</v>
      </c>
      <c r="H13" s="20">
        <f>VLOOKUP('Process DS'!$D12,'Process DB'!$C$7:$AA$41,H$4)</f>
        <v>2.27</v>
      </c>
      <c r="I13" s="21">
        <f>VLOOKUP('Process DS'!$D12,'Process DB'!$C$7:$AA$41,I$4)</f>
        <v>57.4</v>
      </c>
      <c r="J13" s="14">
        <f>VLOOKUP('Process DS'!$D12,'Process DB'!$C$7:$AA$41,J$4)</f>
        <v>0.30199999999999999</v>
      </c>
      <c r="K13" s="14">
        <f>VLOOKUP('Process DS'!$D12,'Process DB'!$C$7:$AA$41,K$4)</f>
        <v>-0.36499999999999999</v>
      </c>
      <c r="L13" s="21">
        <f>VLOOKUP('Process DS'!$D12,'Process DB'!$C$7:$AA$41,L$4)</f>
        <v>0</v>
      </c>
      <c r="M13" s="14">
        <f>VLOOKUP('Process DS'!$D12,'Process DB'!$C$7:$AA$41,M$4)</f>
        <v>20.8</v>
      </c>
      <c r="N13" s="15">
        <f>VLOOKUP('Process DS'!$D12,'Process DB'!$C$7:$AA$41,N$4)</f>
        <v>0</v>
      </c>
      <c r="O13" s="15">
        <f>VLOOKUP('Process DS'!$D12,'Process DB'!$C$7:$AA$41,O$4)</f>
        <v>0</v>
      </c>
      <c r="P13" s="15">
        <f>VLOOKUP('Process DS'!$D12,'Process DB'!$C$7:$AA$41,P$4)</f>
        <v>0</v>
      </c>
      <c r="Q13" s="15">
        <f>VLOOKUP('Process DS'!$D12,'Process DB'!$C$7:$AA$41,Q$4)</f>
        <v>3.7220000000000003E-2</v>
      </c>
      <c r="R13" s="15">
        <f>VLOOKUP('Process DS'!$D12,'Process DB'!$C$7:$AA$41,R$4)</f>
        <v>3.8959999999999998E-4</v>
      </c>
      <c r="S13" s="15">
        <f>VLOOKUP('Process DS'!$D12,'Process DB'!$C$7:$AA$41,S$4)</f>
        <v>-7.4499999999999999E-8</v>
      </c>
      <c r="T13" s="15">
        <f>VLOOKUP('Process DS'!$D12,'Process DB'!$C$7:$AA$41,T$4)</f>
        <v>1.1290000000000001E-11</v>
      </c>
      <c r="U13" s="17">
        <f>VLOOKUP('Process DS'!$D12,'Process DB'!$C$7:$AA$41,U$4)</f>
        <v>0</v>
      </c>
      <c r="V13" s="12">
        <f>VLOOKUP('Process DS'!$D12,'Process DB'!$C$7:$AA$41,V$4)</f>
        <v>0</v>
      </c>
      <c r="W13" s="15">
        <f>VLOOKUP('Process DS'!$D12,'Process DB'!$C$7:$AA$41,W$4)</f>
        <v>0</v>
      </c>
      <c r="X13" s="15">
        <f>VLOOKUP('Process DS'!$D12,'Process DB'!$C$7:$AA$41,X$4)</f>
        <v>0</v>
      </c>
      <c r="Y13" s="15">
        <f>VLOOKUP('Process DS'!$D12,'Process DB'!$C$7:$AA$41,Y$4)</f>
        <v>0</v>
      </c>
      <c r="Z13" s="17"/>
      <c r="AB13" s="76">
        <f t="shared" si="1"/>
        <v>0.99999899999999997</v>
      </c>
      <c r="AC13" s="77">
        <f t="shared" si="68"/>
        <v>0</v>
      </c>
      <c r="AD13" s="76" t="e">
        <f t="shared" si="69"/>
        <v>#DIV/0!</v>
      </c>
      <c r="AF13" s="78">
        <f t="shared" si="2"/>
        <v>4.0025979973980004</v>
      </c>
      <c r="AG13" s="78">
        <f t="shared" si="2"/>
        <v>0</v>
      </c>
      <c r="AH13" s="79" t="e">
        <f t="shared" si="2"/>
        <v>#DIV/0!</v>
      </c>
      <c r="AI13" s="80">
        <f t="shared" si="70"/>
        <v>0</v>
      </c>
      <c r="AJ13" s="80">
        <f t="shared" si="70"/>
        <v>0</v>
      </c>
      <c r="AK13" s="81" t="e">
        <f t="shared" si="70"/>
        <v>#DIV/0!</v>
      </c>
      <c r="AL13" s="105">
        <f t="shared" si="71"/>
        <v>0</v>
      </c>
      <c r="AM13" s="82">
        <f t="shared" si="71"/>
        <v>0</v>
      </c>
      <c r="AN13" s="81" t="e">
        <f t="shared" si="71"/>
        <v>#DIV/0!</v>
      </c>
      <c r="AO13" s="84">
        <f t="shared" si="72"/>
        <v>0</v>
      </c>
      <c r="AP13" s="84">
        <f t="shared" si="73"/>
        <v>0</v>
      </c>
      <c r="AQ13" s="84">
        <f t="shared" si="74"/>
        <v>0</v>
      </c>
      <c r="AR13" s="84">
        <f t="shared" si="75"/>
        <v>0</v>
      </c>
      <c r="AS13" s="84" t="e">
        <f t="shared" si="76"/>
        <v>#DIV/0!</v>
      </c>
      <c r="AT13" s="85" t="e">
        <f t="shared" si="77"/>
        <v>#DIV/0!</v>
      </c>
      <c r="AU13" s="83">
        <f t="shared" si="78"/>
        <v>0</v>
      </c>
      <c r="AV13" s="83">
        <f t="shared" si="79"/>
        <v>0</v>
      </c>
      <c r="AW13" s="83">
        <f t="shared" si="3"/>
        <v>0</v>
      </c>
      <c r="AX13" s="83">
        <f t="shared" si="80"/>
        <v>0</v>
      </c>
      <c r="AY13" s="84" t="e">
        <f t="shared" si="81"/>
        <v>#DIV/0!</v>
      </c>
      <c r="AZ13" s="86" t="e">
        <f t="shared" si="82"/>
        <v>#DIV/0!</v>
      </c>
      <c r="BA13" s="87">
        <f t="shared" si="4"/>
        <v>20.799979199999999</v>
      </c>
      <c r="BB13" s="87">
        <f t="shared" si="4"/>
        <v>0</v>
      </c>
      <c r="BC13" s="88" t="e">
        <f t="shared" si="4"/>
        <v>#DIV/0!</v>
      </c>
      <c r="BD13" s="89">
        <f t="shared" si="5"/>
        <v>0.14570087223826972</v>
      </c>
      <c r="BE13" s="89">
        <f t="shared" si="5"/>
        <v>0.1392865010728972</v>
      </c>
      <c r="BF13" s="90">
        <f t="shared" si="5"/>
        <v>0.1392865010728972</v>
      </c>
      <c r="BG13" s="91">
        <f t="shared" si="83"/>
        <v>0.23135771223560311</v>
      </c>
      <c r="BH13" s="91">
        <f t="shared" si="84"/>
        <v>0.14340175955048012</v>
      </c>
      <c r="BI13" s="91">
        <f t="shared" si="85"/>
        <v>0.19602548758616253</v>
      </c>
      <c r="BJ13" s="91">
        <f t="shared" si="86"/>
        <v>0.28235278740881387</v>
      </c>
      <c r="BK13" s="91">
        <f t="shared" si="87"/>
        <v>0.19722429575286032</v>
      </c>
      <c r="BL13" s="91">
        <f t="shared" si="88"/>
        <v>0.18456694332730994</v>
      </c>
      <c r="BM13" s="91">
        <f t="shared" si="89"/>
        <v>0.99999899999999997</v>
      </c>
      <c r="BN13" s="91">
        <f t="shared" si="90"/>
        <v>0</v>
      </c>
      <c r="BO13" s="91">
        <f t="shared" si="91"/>
        <v>0</v>
      </c>
      <c r="BP13" s="91">
        <f t="shared" si="92"/>
        <v>0</v>
      </c>
      <c r="BQ13" s="91">
        <f t="shared" si="93"/>
        <v>0</v>
      </c>
      <c r="BR13" s="91">
        <f t="shared" si="94"/>
        <v>0</v>
      </c>
      <c r="BS13" s="91">
        <f t="shared" si="95"/>
        <v>0</v>
      </c>
      <c r="BT13" s="91">
        <f t="shared" si="96"/>
        <v>0</v>
      </c>
      <c r="BU13" s="91">
        <f t="shared" si="97"/>
        <v>0</v>
      </c>
      <c r="BV13" s="91">
        <f t="shared" si="98"/>
        <v>0</v>
      </c>
      <c r="BW13" s="91">
        <f t="shared" si="99"/>
        <v>0</v>
      </c>
      <c r="BX13" s="90">
        <f t="shared" si="100"/>
        <v>0</v>
      </c>
      <c r="BY13" s="91">
        <f t="shared" si="101"/>
        <v>0</v>
      </c>
      <c r="BZ13" s="91">
        <f t="shared" si="102"/>
        <v>0</v>
      </c>
      <c r="CA13" s="91">
        <f t="shared" si="103"/>
        <v>0</v>
      </c>
      <c r="CB13" s="91">
        <f t="shared" si="104"/>
        <v>0</v>
      </c>
      <c r="CC13" s="91">
        <f t="shared" si="105"/>
        <v>0</v>
      </c>
      <c r="CD13" s="91">
        <f t="shared" si="106"/>
        <v>0</v>
      </c>
      <c r="CE13" s="91">
        <f t="shared" si="107"/>
        <v>0</v>
      </c>
      <c r="CF13" s="91">
        <f t="shared" si="108"/>
        <v>0</v>
      </c>
      <c r="CG13" s="91">
        <f t="shared" si="109"/>
        <v>0</v>
      </c>
      <c r="CH13" s="91">
        <f t="shared" si="110"/>
        <v>0</v>
      </c>
      <c r="CI13" s="91">
        <f t="shared" si="111"/>
        <v>0</v>
      </c>
      <c r="CJ13" s="91">
        <f t="shared" si="112"/>
        <v>0</v>
      </c>
      <c r="CK13" s="91">
        <f t="shared" si="113"/>
        <v>0</v>
      </c>
      <c r="CL13" s="91">
        <f t="shared" si="114"/>
        <v>0</v>
      </c>
      <c r="CM13" s="91">
        <f t="shared" si="115"/>
        <v>0</v>
      </c>
      <c r="CN13" s="91">
        <f t="shared" si="116"/>
        <v>0</v>
      </c>
      <c r="CO13" s="91">
        <f t="shared" si="117"/>
        <v>0</v>
      </c>
      <c r="CP13" s="90">
        <f t="shared" si="118"/>
        <v>0</v>
      </c>
      <c r="CQ13" s="106" t="e">
        <f t="shared" si="119"/>
        <v>#DIV/0!</v>
      </c>
      <c r="CR13" s="91" t="e">
        <f t="shared" si="120"/>
        <v>#DIV/0!</v>
      </c>
      <c r="CS13" s="91" t="e">
        <f t="shared" si="121"/>
        <v>#DIV/0!</v>
      </c>
      <c r="CT13" s="91" t="e">
        <f t="shared" si="122"/>
        <v>#DIV/0!</v>
      </c>
      <c r="CU13" s="91" t="e">
        <f t="shared" si="123"/>
        <v>#DIV/0!</v>
      </c>
      <c r="CV13" s="91" t="e">
        <f t="shared" si="124"/>
        <v>#DIV/0!</v>
      </c>
      <c r="CW13" s="91" t="e">
        <f t="shared" si="125"/>
        <v>#DIV/0!</v>
      </c>
      <c r="CX13" s="91" t="e">
        <f t="shared" si="126"/>
        <v>#DIV/0!</v>
      </c>
      <c r="CY13" s="91" t="e">
        <f t="shared" si="127"/>
        <v>#DIV/0!</v>
      </c>
      <c r="CZ13" s="91" t="e">
        <f t="shared" si="128"/>
        <v>#DIV/0!</v>
      </c>
      <c r="DA13" s="91" t="e">
        <f t="shared" si="129"/>
        <v>#DIV/0!</v>
      </c>
      <c r="DB13" s="91" t="e">
        <f t="shared" si="130"/>
        <v>#DIV/0!</v>
      </c>
      <c r="DC13" s="91" t="e">
        <f t="shared" si="131"/>
        <v>#DIV/0!</v>
      </c>
      <c r="DD13" s="91" t="e">
        <f t="shared" si="132"/>
        <v>#DIV/0!</v>
      </c>
      <c r="DE13" s="91" t="e">
        <f t="shared" si="133"/>
        <v>#DIV/0!</v>
      </c>
      <c r="DF13" s="91" t="e">
        <f t="shared" si="134"/>
        <v>#DIV/0!</v>
      </c>
      <c r="DG13" s="91" t="e">
        <f t="shared" si="135"/>
        <v>#DIV/0!</v>
      </c>
      <c r="DH13" s="92" t="e">
        <f t="shared" si="136"/>
        <v>#DIV/0!</v>
      </c>
      <c r="DI13" s="93">
        <f t="shared" si="137"/>
        <v>0</v>
      </c>
      <c r="DJ13" s="94">
        <f t="shared" si="6"/>
        <v>1.1005940000000001</v>
      </c>
      <c r="DK13" s="95">
        <f t="shared" si="7"/>
        <v>71.399425283665153</v>
      </c>
      <c r="DL13" s="95">
        <f t="shared" si="138"/>
        <v>0.61557640678165026</v>
      </c>
      <c r="DM13" s="95">
        <f t="shared" si="8"/>
        <v>66.951030935559828</v>
      </c>
      <c r="DN13" s="95">
        <f t="shared" si="139"/>
        <v>0.62149463238363756</v>
      </c>
      <c r="DO13" s="95">
        <f t="shared" si="9"/>
        <v>66.951030935559828</v>
      </c>
      <c r="DP13" s="95">
        <f t="shared" si="140"/>
        <v>0.62149463238363756</v>
      </c>
      <c r="DQ13" s="96">
        <f t="shared" si="10"/>
        <v>168.18038884886323</v>
      </c>
      <c r="DR13" s="96">
        <f t="shared" si="11"/>
        <v>161.30625661665363</v>
      </c>
      <c r="DS13" s="97">
        <f t="shared" si="12"/>
        <v>161.30625661665363</v>
      </c>
      <c r="DT13" s="98">
        <f t="shared" si="13"/>
        <v>0.34629182230169853</v>
      </c>
      <c r="DU13" s="98">
        <f t="shared" si="14"/>
        <v>0.23295535516834751</v>
      </c>
      <c r="DV13" s="98">
        <f t="shared" si="15"/>
        <v>0.32497150923952484</v>
      </c>
      <c r="DW13" s="98">
        <f t="shared" si="16"/>
        <v>0.38995522038751818</v>
      </c>
      <c r="DX13" s="98">
        <f t="shared" si="17"/>
        <v>0.33078913027313622</v>
      </c>
      <c r="DY13" s="98">
        <f t="shared" si="18"/>
        <v>0.32180957516689945</v>
      </c>
      <c r="DZ13" s="98">
        <f t="shared" si="19"/>
        <v>0.99999899999999997</v>
      </c>
      <c r="EA13" s="98">
        <f t="shared" si="20"/>
        <v>0</v>
      </c>
      <c r="EB13" s="98">
        <f t="shared" si="21"/>
        <v>0</v>
      </c>
      <c r="EC13" s="98">
        <f t="shared" si="22"/>
        <v>0</v>
      </c>
      <c r="ED13" s="98">
        <f t="shared" si="23"/>
        <v>0</v>
      </c>
      <c r="EE13" s="98">
        <f t="shared" si="24"/>
        <v>0</v>
      </c>
      <c r="EF13" s="98">
        <f t="shared" si="25"/>
        <v>0</v>
      </c>
      <c r="EG13" s="98">
        <f t="shared" si="26"/>
        <v>0</v>
      </c>
      <c r="EH13" s="98">
        <f t="shared" si="27"/>
        <v>0</v>
      </c>
      <c r="EI13" s="98">
        <f t="shared" si="28"/>
        <v>0</v>
      </c>
      <c r="EJ13" s="98">
        <f t="shared" si="29"/>
        <v>0</v>
      </c>
      <c r="EK13" s="99">
        <f t="shared" si="30"/>
        <v>0</v>
      </c>
      <c r="EL13" s="98">
        <f t="shared" si="31"/>
        <v>0</v>
      </c>
      <c r="EM13" s="98">
        <f t="shared" si="32"/>
        <v>0</v>
      </c>
      <c r="EN13" s="98">
        <f t="shared" si="33"/>
        <v>0</v>
      </c>
      <c r="EO13" s="98">
        <f t="shared" si="34"/>
        <v>0</v>
      </c>
      <c r="EP13" s="98">
        <f t="shared" si="35"/>
        <v>0</v>
      </c>
      <c r="EQ13" s="98">
        <f t="shared" si="36"/>
        <v>0</v>
      </c>
      <c r="ER13" s="98">
        <f t="shared" si="37"/>
        <v>0</v>
      </c>
      <c r="ES13" s="98">
        <f t="shared" si="38"/>
        <v>0</v>
      </c>
      <c r="ET13" s="98">
        <f t="shared" si="39"/>
        <v>0</v>
      </c>
      <c r="EU13" s="98">
        <f t="shared" si="40"/>
        <v>0</v>
      </c>
      <c r="EV13" s="98">
        <f t="shared" si="41"/>
        <v>0</v>
      </c>
      <c r="EW13" s="98">
        <f t="shared" si="42"/>
        <v>0</v>
      </c>
      <c r="EX13" s="98">
        <f t="shared" si="43"/>
        <v>0</v>
      </c>
      <c r="EY13" s="98">
        <f t="shared" si="44"/>
        <v>0</v>
      </c>
      <c r="EZ13" s="98">
        <f t="shared" si="45"/>
        <v>0</v>
      </c>
      <c r="FA13" s="98">
        <f t="shared" si="46"/>
        <v>0</v>
      </c>
      <c r="FB13" s="98">
        <f t="shared" si="47"/>
        <v>0</v>
      </c>
      <c r="FC13" s="98">
        <f t="shared" si="48"/>
        <v>0</v>
      </c>
      <c r="FD13" s="100" t="e">
        <f t="shared" si="49"/>
        <v>#DIV/0!</v>
      </c>
      <c r="FE13" s="98" t="e">
        <f t="shared" si="50"/>
        <v>#DIV/0!</v>
      </c>
      <c r="FF13" s="98" t="e">
        <f t="shared" si="51"/>
        <v>#DIV/0!</v>
      </c>
      <c r="FG13" s="98" t="e">
        <f t="shared" si="52"/>
        <v>#DIV/0!</v>
      </c>
      <c r="FH13" s="98" t="e">
        <f t="shared" si="53"/>
        <v>#DIV/0!</v>
      </c>
      <c r="FI13" s="98" t="e">
        <f t="shared" si="54"/>
        <v>#DIV/0!</v>
      </c>
      <c r="FJ13" s="98" t="e">
        <f t="shared" si="55"/>
        <v>#DIV/0!</v>
      </c>
      <c r="FK13" s="98" t="e">
        <f t="shared" si="56"/>
        <v>#DIV/0!</v>
      </c>
      <c r="FL13" s="98" t="e">
        <f t="shared" si="57"/>
        <v>#DIV/0!</v>
      </c>
      <c r="FM13" s="98" t="e">
        <f t="shared" si="58"/>
        <v>#DIV/0!</v>
      </c>
      <c r="FN13" s="98" t="e">
        <f t="shared" si="59"/>
        <v>#DIV/0!</v>
      </c>
      <c r="FO13" s="98" t="e">
        <f t="shared" si="60"/>
        <v>#DIV/0!</v>
      </c>
      <c r="FP13" s="98" t="e">
        <f t="shared" si="61"/>
        <v>#DIV/0!</v>
      </c>
      <c r="FQ13" s="98" t="e">
        <f t="shared" si="62"/>
        <v>#DIV/0!</v>
      </c>
      <c r="FR13" s="98" t="e">
        <f t="shared" si="63"/>
        <v>#DIV/0!</v>
      </c>
      <c r="FS13" s="98" t="e">
        <f t="shared" si="64"/>
        <v>#DIV/0!</v>
      </c>
      <c r="FT13" s="98" t="e">
        <f t="shared" si="65"/>
        <v>#DIV/0!</v>
      </c>
      <c r="FU13" s="98" t="e">
        <f t="shared" si="66"/>
        <v>#DIV/0!</v>
      </c>
      <c r="FV13" s="101">
        <f>IF(B13='Process DB'!$D$27,IF(AB13&gt;$FX$4,1,0),0)</f>
        <v>0</v>
      </c>
      <c r="FW13" s="50">
        <f>IF(B13='Process DB'!$D$27,IF(AC13&gt;$FX$4,1,0),0)</f>
        <v>0</v>
      </c>
      <c r="FX13" s="50">
        <f>IF(B13='Process DB'!$D$27,IF(AD13&gt;$FX$4,1,0),0)</f>
        <v>0</v>
      </c>
      <c r="FY13" s="41"/>
      <c r="GB13" s="101">
        <f>IF(GB$7&gt;0,IF(B13='Process DB'!$D$13,IF(AB13&gt;$GD$4,1,0),0),0)</f>
        <v>0</v>
      </c>
      <c r="GC13" s="102">
        <f>IF(GC$7&gt;0,IF(B13='Process DB'!$D$13,IF(AC13&gt;$GD$4,1,0),0),0)</f>
        <v>0</v>
      </c>
      <c r="GD13" s="102" t="e">
        <f>IF(GD$7&gt;0,IF(B13='Process DB'!$D$13,IF(AD13&gt;$GD$4,1,0),0),0)</f>
        <v>#DIV/0!</v>
      </c>
      <c r="GE13" s="103">
        <f t="shared" si="67"/>
        <v>-80.888808000000523</v>
      </c>
      <c r="GF13" s="78">
        <f t="shared" si="67"/>
        <v>0</v>
      </c>
    </row>
    <row r="14" spans="1:189" ht="15" customHeight="1">
      <c r="B14" s="19" t="str">
        <f>VLOOKUP('Process DS'!$D13,'Process DB'!$C$7:$AA$41,B$4)</f>
        <v>-</v>
      </c>
      <c r="C14" s="17">
        <f>VLOOKUP('Process DS'!$D13,'Process DB'!$C$7:$AA$41,C$4)</f>
        <v>0</v>
      </c>
      <c r="D14" s="18">
        <f>VLOOKUP('Process DS'!$D13,'Process DB'!$C$7:$AA$41,D$4)</f>
        <v>0</v>
      </c>
      <c r="E14" s="19">
        <f>VLOOKUP('Process DS'!$D13,'Process DB'!$C$7:$AA$41,E$4)</f>
        <v>0</v>
      </c>
      <c r="F14" s="19">
        <f>VLOOKUP('Process DS'!$D13,'Process DB'!$C$7:$AA$41,F$4)</f>
        <v>0</v>
      </c>
      <c r="G14" s="20">
        <f>VLOOKUP('Process DS'!$D13,'Process DB'!$C$7:$AA$41,G$4)</f>
        <v>0</v>
      </c>
      <c r="H14" s="20">
        <f>VLOOKUP('Process DS'!$D13,'Process DB'!$C$7:$AA$41,H$4)</f>
        <v>0</v>
      </c>
      <c r="I14" s="21">
        <f>VLOOKUP('Process DS'!$D13,'Process DB'!$C$7:$AA$41,I$4)</f>
        <v>0</v>
      </c>
      <c r="J14" s="14">
        <f>VLOOKUP('Process DS'!$D13,'Process DB'!$C$7:$AA$41,J$4)</f>
        <v>0</v>
      </c>
      <c r="K14" s="14">
        <f>VLOOKUP('Process DS'!$D13,'Process DB'!$C$7:$AA$41,K$4)</f>
        <v>0</v>
      </c>
      <c r="L14" s="21">
        <f>VLOOKUP('Process DS'!$D13,'Process DB'!$C$7:$AA$41,L$4)</f>
        <v>0</v>
      </c>
      <c r="M14" s="14">
        <f>VLOOKUP('Process DS'!$D13,'Process DB'!$C$7:$AA$41,M$4)</f>
        <v>0</v>
      </c>
      <c r="N14" s="15">
        <f>VLOOKUP('Process DS'!$D13,'Process DB'!$C$7:$AA$41,N$4)</f>
        <v>0</v>
      </c>
      <c r="O14" s="15">
        <f>VLOOKUP('Process DS'!$D13,'Process DB'!$C$7:$AA$41,O$4)</f>
        <v>0</v>
      </c>
      <c r="P14" s="15">
        <f>VLOOKUP('Process DS'!$D13,'Process DB'!$C$7:$AA$41,P$4)</f>
        <v>0</v>
      </c>
      <c r="Q14" s="15">
        <f>VLOOKUP('Process DS'!$D13,'Process DB'!$C$7:$AA$41,Q$4)</f>
        <v>0</v>
      </c>
      <c r="R14" s="15">
        <f>VLOOKUP('Process DS'!$D13,'Process DB'!$C$7:$AA$41,R$4)</f>
        <v>0</v>
      </c>
      <c r="S14" s="15">
        <f>VLOOKUP('Process DS'!$D13,'Process DB'!$C$7:$AA$41,S$4)</f>
        <v>0</v>
      </c>
      <c r="T14" s="15">
        <f>VLOOKUP('Process DS'!$D13,'Process DB'!$C$7:$AA$41,T$4)</f>
        <v>0</v>
      </c>
      <c r="U14" s="17">
        <f>VLOOKUP('Process DS'!$D13,'Process DB'!$C$7:$AA$41,U$4)</f>
        <v>0</v>
      </c>
      <c r="V14" s="12">
        <f>VLOOKUP('Process DS'!$D13,'Process DB'!$C$7:$AA$41,V$4)</f>
        <v>0</v>
      </c>
      <c r="W14" s="15">
        <f>VLOOKUP('Process DS'!$D13,'Process DB'!$C$7:$AA$41,W$4)</f>
        <v>0</v>
      </c>
      <c r="X14" s="15">
        <f>VLOOKUP('Process DS'!$D13,'Process DB'!$C$7:$AA$41,X$4)</f>
        <v>0</v>
      </c>
      <c r="Y14" s="15">
        <f>VLOOKUP('Process DS'!$D13,'Process DB'!$C$7:$AA$41,Y$4)</f>
        <v>0</v>
      </c>
      <c r="Z14" s="17"/>
      <c r="AB14" s="76">
        <f t="shared" si="1"/>
        <v>0</v>
      </c>
      <c r="AC14" s="77">
        <f t="shared" si="68"/>
        <v>0</v>
      </c>
      <c r="AD14" s="76" t="e">
        <f t="shared" si="69"/>
        <v>#DIV/0!</v>
      </c>
      <c r="AF14" s="78">
        <f t="shared" si="2"/>
        <v>0</v>
      </c>
      <c r="AG14" s="78">
        <f t="shared" si="2"/>
        <v>0</v>
      </c>
      <c r="AH14" s="79" t="e">
        <f t="shared" si="2"/>
        <v>#DIV/0!</v>
      </c>
      <c r="AI14" s="80">
        <f t="shared" si="70"/>
        <v>0</v>
      </c>
      <c r="AJ14" s="80">
        <f t="shared" si="70"/>
        <v>0</v>
      </c>
      <c r="AK14" s="81" t="e">
        <f t="shared" si="70"/>
        <v>#DIV/0!</v>
      </c>
      <c r="AL14" s="105">
        <f t="shared" si="71"/>
        <v>0</v>
      </c>
      <c r="AM14" s="82">
        <f t="shared" si="71"/>
        <v>0</v>
      </c>
      <c r="AN14" s="81" t="e">
        <f t="shared" si="71"/>
        <v>#DIV/0!</v>
      </c>
      <c r="AO14" s="84">
        <f t="shared" si="72"/>
        <v>0</v>
      </c>
      <c r="AP14" s="84">
        <f t="shared" si="73"/>
        <v>0</v>
      </c>
      <c r="AQ14" s="84">
        <f t="shared" si="74"/>
        <v>0</v>
      </c>
      <c r="AR14" s="84">
        <f t="shared" si="75"/>
        <v>0</v>
      </c>
      <c r="AS14" s="84" t="e">
        <f t="shared" si="76"/>
        <v>#DIV/0!</v>
      </c>
      <c r="AT14" s="85" t="e">
        <f t="shared" si="77"/>
        <v>#DIV/0!</v>
      </c>
      <c r="AU14" s="83">
        <f t="shared" si="78"/>
        <v>0</v>
      </c>
      <c r="AV14" s="83">
        <f t="shared" si="79"/>
        <v>0</v>
      </c>
      <c r="AW14" s="83">
        <f t="shared" si="3"/>
        <v>0</v>
      </c>
      <c r="AX14" s="83">
        <f t="shared" si="80"/>
        <v>0</v>
      </c>
      <c r="AY14" s="84" t="e">
        <f t="shared" si="81"/>
        <v>#DIV/0!</v>
      </c>
      <c r="AZ14" s="86" t="e">
        <f t="shared" si="82"/>
        <v>#DIV/0!</v>
      </c>
      <c r="BA14" s="87">
        <f t="shared" si="4"/>
        <v>0</v>
      </c>
      <c r="BB14" s="87">
        <f t="shared" si="4"/>
        <v>0</v>
      </c>
      <c r="BC14" s="88" t="e">
        <f t="shared" si="4"/>
        <v>#DIV/0!</v>
      </c>
      <c r="BD14" s="89">
        <f t="shared" si="5"/>
        <v>0</v>
      </c>
      <c r="BE14" s="89">
        <f t="shared" si="5"/>
        <v>0</v>
      </c>
      <c r="BF14" s="90">
        <f t="shared" si="5"/>
        <v>0</v>
      </c>
      <c r="BG14" s="91">
        <f t="shared" si="83"/>
        <v>0</v>
      </c>
      <c r="BH14" s="91">
        <f t="shared" si="84"/>
        <v>0</v>
      </c>
      <c r="BI14" s="91">
        <f t="shared" si="85"/>
        <v>0</v>
      </c>
      <c r="BJ14" s="91">
        <f t="shared" si="86"/>
        <v>0</v>
      </c>
      <c r="BK14" s="91">
        <f t="shared" si="87"/>
        <v>0</v>
      </c>
      <c r="BL14" s="91">
        <f t="shared" si="88"/>
        <v>0</v>
      </c>
      <c r="BM14" s="91">
        <f t="shared" si="89"/>
        <v>0</v>
      </c>
      <c r="BN14" s="91">
        <f t="shared" si="90"/>
        <v>0</v>
      </c>
      <c r="BO14" s="91">
        <f t="shared" si="91"/>
        <v>0</v>
      </c>
      <c r="BP14" s="91">
        <f t="shared" si="92"/>
        <v>0</v>
      </c>
      <c r="BQ14" s="91">
        <f t="shared" si="93"/>
        <v>0</v>
      </c>
      <c r="BR14" s="91">
        <f t="shared" si="94"/>
        <v>0</v>
      </c>
      <c r="BS14" s="91">
        <f t="shared" si="95"/>
        <v>0</v>
      </c>
      <c r="BT14" s="91">
        <f t="shared" si="96"/>
        <v>0</v>
      </c>
      <c r="BU14" s="91">
        <f t="shared" si="97"/>
        <v>0</v>
      </c>
      <c r="BV14" s="91">
        <f t="shared" si="98"/>
        <v>0</v>
      </c>
      <c r="BW14" s="91">
        <f t="shared" si="99"/>
        <v>0</v>
      </c>
      <c r="BX14" s="90">
        <f t="shared" si="100"/>
        <v>0</v>
      </c>
      <c r="BY14" s="91">
        <f t="shared" si="101"/>
        <v>0</v>
      </c>
      <c r="BZ14" s="91">
        <f t="shared" si="102"/>
        <v>0</v>
      </c>
      <c r="CA14" s="91">
        <f t="shared" si="103"/>
        <v>0</v>
      </c>
      <c r="CB14" s="91">
        <f t="shared" si="104"/>
        <v>0</v>
      </c>
      <c r="CC14" s="91">
        <f t="shared" si="105"/>
        <v>0</v>
      </c>
      <c r="CD14" s="91">
        <f t="shared" si="106"/>
        <v>0</v>
      </c>
      <c r="CE14" s="91">
        <f t="shared" si="107"/>
        <v>0</v>
      </c>
      <c r="CF14" s="91">
        <f t="shared" si="108"/>
        <v>0</v>
      </c>
      <c r="CG14" s="91">
        <f t="shared" si="109"/>
        <v>0</v>
      </c>
      <c r="CH14" s="91">
        <f t="shared" si="110"/>
        <v>0</v>
      </c>
      <c r="CI14" s="91">
        <f t="shared" si="111"/>
        <v>0</v>
      </c>
      <c r="CJ14" s="91">
        <f t="shared" si="112"/>
        <v>0</v>
      </c>
      <c r="CK14" s="91">
        <f t="shared" si="113"/>
        <v>0</v>
      </c>
      <c r="CL14" s="91">
        <f t="shared" si="114"/>
        <v>0</v>
      </c>
      <c r="CM14" s="91">
        <f t="shared" si="115"/>
        <v>0</v>
      </c>
      <c r="CN14" s="91">
        <f t="shared" si="116"/>
        <v>0</v>
      </c>
      <c r="CO14" s="91">
        <f t="shared" si="117"/>
        <v>0</v>
      </c>
      <c r="CP14" s="90">
        <f t="shared" si="118"/>
        <v>0</v>
      </c>
      <c r="CQ14" s="106" t="e">
        <f t="shared" si="119"/>
        <v>#DIV/0!</v>
      </c>
      <c r="CR14" s="91" t="e">
        <f t="shared" si="120"/>
        <v>#DIV/0!</v>
      </c>
      <c r="CS14" s="91" t="e">
        <f t="shared" si="121"/>
        <v>#DIV/0!</v>
      </c>
      <c r="CT14" s="91" t="e">
        <f t="shared" si="122"/>
        <v>#DIV/0!</v>
      </c>
      <c r="CU14" s="91" t="e">
        <f t="shared" si="123"/>
        <v>#DIV/0!</v>
      </c>
      <c r="CV14" s="91" t="e">
        <f t="shared" si="124"/>
        <v>#DIV/0!</v>
      </c>
      <c r="CW14" s="91" t="e">
        <f t="shared" si="125"/>
        <v>#DIV/0!</v>
      </c>
      <c r="CX14" s="91" t="e">
        <f t="shared" si="126"/>
        <v>#DIV/0!</v>
      </c>
      <c r="CY14" s="91" t="e">
        <f t="shared" si="127"/>
        <v>#DIV/0!</v>
      </c>
      <c r="CZ14" s="91" t="e">
        <f t="shared" si="128"/>
        <v>#DIV/0!</v>
      </c>
      <c r="DA14" s="91" t="e">
        <f t="shared" si="129"/>
        <v>#DIV/0!</v>
      </c>
      <c r="DB14" s="91" t="e">
        <f t="shared" si="130"/>
        <v>#DIV/0!</v>
      </c>
      <c r="DC14" s="91" t="e">
        <f t="shared" si="131"/>
        <v>#DIV/0!</v>
      </c>
      <c r="DD14" s="91" t="e">
        <f t="shared" si="132"/>
        <v>#DIV/0!</v>
      </c>
      <c r="DE14" s="91" t="e">
        <f t="shared" si="133"/>
        <v>#DIV/0!</v>
      </c>
      <c r="DF14" s="91" t="e">
        <f t="shared" si="134"/>
        <v>#DIV/0!</v>
      </c>
      <c r="DG14" s="91" t="e">
        <f t="shared" si="135"/>
        <v>#DIV/0!</v>
      </c>
      <c r="DH14" s="92" t="e">
        <f t="shared" si="136"/>
        <v>#DIV/0!</v>
      </c>
      <c r="DI14" s="93">
        <f t="shared" si="137"/>
        <v>0</v>
      </c>
      <c r="DJ14" s="94">
        <f t="shared" si="6"/>
        <v>1</v>
      </c>
      <c r="DK14" s="95">
        <f t="shared" si="7"/>
        <v>0</v>
      </c>
      <c r="DL14" s="95">
        <f t="shared" si="138"/>
        <v>0</v>
      </c>
      <c r="DM14" s="95">
        <f t="shared" si="8"/>
        <v>0</v>
      </c>
      <c r="DN14" s="95">
        <f t="shared" si="139"/>
        <v>0</v>
      </c>
      <c r="DO14" s="95">
        <f t="shared" si="9"/>
        <v>0</v>
      </c>
      <c r="DP14" s="95">
        <f t="shared" si="140"/>
        <v>0</v>
      </c>
      <c r="DQ14" s="96">
        <f t="shared" si="10"/>
        <v>0</v>
      </c>
      <c r="DR14" s="96">
        <f t="shared" si="11"/>
        <v>0</v>
      </c>
      <c r="DS14" s="97">
        <f t="shared" si="12"/>
        <v>0</v>
      </c>
      <c r="DT14" s="98">
        <f t="shared" si="13"/>
        <v>0</v>
      </c>
      <c r="DU14" s="98">
        <f t="shared" si="14"/>
        <v>0</v>
      </c>
      <c r="DV14" s="98">
        <f t="shared" si="15"/>
        <v>0</v>
      </c>
      <c r="DW14" s="98">
        <f t="shared" si="16"/>
        <v>0</v>
      </c>
      <c r="DX14" s="98">
        <f t="shared" si="17"/>
        <v>0</v>
      </c>
      <c r="DY14" s="98">
        <f t="shared" si="18"/>
        <v>0</v>
      </c>
      <c r="DZ14" s="98">
        <f t="shared" si="19"/>
        <v>0</v>
      </c>
      <c r="EA14" s="98">
        <f t="shared" si="20"/>
        <v>0</v>
      </c>
      <c r="EB14" s="98">
        <f t="shared" si="21"/>
        <v>0</v>
      </c>
      <c r="EC14" s="98">
        <f t="shared" si="22"/>
        <v>0</v>
      </c>
      <c r="ED14" s="98">
        <f t="shared" si="23"/>
        <v>0</v>
      </c>
      <c r="EE14" s="98">
        <f t="shared" si="24"/>
        <v>0</v>
      </c>
      <c r="EF14" s="98">
        <f t="shared" si="25"/>
        <v>0</v>
      </c>
      <c r="EG14" s="98">
        <f t="shared" si="26"/>
        <v>0</v>
      </c>
      <c r="EH14" s="98">
        <f t="shared" si="27"/>
        <v>0</v>
      </c>
      <c r="EI14" s="98">
        <f t="shared" si="28"/>
        <v>0</v>
      </c>
      <c r="EJ14" s="98">
        <f t="shared" si="29"/>
        <v>0</v>
      </c>
      <c r="EK14" s="99">
        <f t="shared" si="30"/>
        <v>0</v>
      </c>
      <c r="EL14" s="98">
        <f t="shared" si="31"/>
        <v>0</v>
      </c>
      <c r="EM14" s="98">
        <f t="shared" si="32"/>
        <v>0</v>
      </c>
      <c r="EN14" s="98">
        <f t="shared" si="33"/>
        <v>0</v>
      </c>
      <c r="EO14" s="98">
        <f t="shared" si="34"/>
        <v>0</v>
      </c>
      <c r="EP14" s="98">
        <f t="shared" si="35"/>
        <v>0</v>
      </c>
      <c r="EQ14" s="98">
        <f t="shared" si="36"/>
        <v>0</v>
      </c>
      <c r="ER14" s="98">
        <f t="shared" si="37"/>
        <v>0</v>
      </c>
      <c r="ES14" s="98">
        <f t="shared" si="38"/>
        <v>0</v>
      </c>
      <c r="ET14" s="98">
        <f t="shared" si="39"/>
        <v>0</v>
      </c>
      <c r="EU14" s="98">
        <f t="shared" si="40"/>
        <v>0</v>
      </c>
      <c r="EV14" s="98">
        <f t="shared" si="41"/>
        <v>0</v>
      </c>
      <c r="EW14" s="98">
        <f t="shared" si="42"/>
        <v>0</v>
      </c>
      <c r="EX14" s="98">
        <f t="shared" si="43"/>
        <v>0</v>
      </c>
      <c r="EY14" s="98">
        <f t="shared" si="44"/>
        <v>0</v>
      </c>
      <c r="EZ14" s="98">
        <f t="shared" si="45"/>
        <v>0</v>
      </c>
      <c r="FA14" s="98">
        <f t="shared" si="46"/>
        <v>0</v>
      </c>
      <c r="FB14" s="98">
        <f t="shared" si="47"/>
        <v>0</v>
      </c>
      <c r="FC14" s="98">
        <f t="shared" si="48"/>
        <v>0</v>
      </c>
      <c r="FD14" s="100" t="e">
        <f t="shared" si="49"/>
        <v>#DIV/0!</v>
      </c>
      <c r="FE14" s="98" t="e">
        <f t="shared" si="50"/>
        <v>#DIV/0!</v>
      </c>
      <c r="FF14" s="98" t="e">
        <f t="shared" si="51"/>
        <v>#DIV/0!</v>
      </c>
      <c r="FG14" s="98" t="e">
        <f t="shared" si="52"/>
        <v>#DIV/0!</v>
      </c>
      <c r="FH14" s="98" t="e">
        <f t="shared" si="53"/>
        <v>#DIV/0!</v>
      </c>
      <c r="FI14" s="98" t="e">
        <f t="shared" si="54"/>
        <v>#DIV/0!</v>
      </c>
      <c r="FJ14" s="98" t="e">
        <f t="shared" si="55"/>
        <v>#DIV/0!</v>
      </c>
      <c r="FK14" s="98" t="e">
        <f t="shared" si="56"/>
        <v>#DIV/0!</v>
      </c>
      <c r="FL14" s="98" t="e">
        <f t="shared" si="57"/>
        <v>#DIV/0!</v>
      </c>
      <c r="FM14" s="98" t="e">
        <f t="shared" si="58"/>
        <v>#DIV/0!</v>
      </c>
      <c r="FN14" s="98" t="e">
        <f t="shared" si="59"/>
        <v>#DIV/0!</v>
      </c>
      <c r="FO14" s="98" t="e">
        <f t="shared" si="60"/>
        <v>#DIV/0!</v>
      </c>
      <c r="FP14" s="98" t="e">
        <f t="shared" si="61"/>
        <v>#DIV/0!</v>
      </c>
      <c r="FQ14" s="98" t="e">
        <f t="shared" si="62"/>
        <v>#DIV/0!</v>
      </c>
      <c r="FR14" s="98" t="e">
        <f t="shared" si="63"/>
        <v>#DIV/0!</v>
      </c>
      <c r="FS14" s="98" t="e">
        <f t="shared" si="64"/>
        <v>#DIV/0!</v>
      </c>
      <c r="FT14" s="98" t="e">
        <f t="shared" si="65"/>
        <v>#DIV/0!</v>
      </c>
      <c r="FU14" s="98" t="e">
        <f t="shared" si="66"/>
        <v>#DIV/0!</v>
      </c>
      <c r="FV14" s="101">
        <f>IF(B14='Process DB'!$D$27,IF(AB14&gt;$FX$4,1,0),0)</f>
        <v>0</v>
      </c>
      <c r="FW14" s="50">
        <f>IF(B14='Process DB'!$D$27,IF(AC14&gt;$FX$4,1,0),0)</f>
        <v>0</v>
      </c>
      <c r="FX14" s="50">
        <f>IF(B14='Process DB'!$D$27,IF(AD14&gt;$FX$4,1,0),0)</f>
        <v>0</v>
      </c>
      <c r="FY14" s="41"/>
      <c r="GB14" s="101">
        <f>IF(GB$7&gt;0,IF(B14='Process DB'!$D$13,IF(AB14&gt;$GD$4,1,0),0),0)</f>
        <v>0</v>
      </c>
      <c r="GC14" s="102">
        <f>IF(GC$7&gt;0,IF(B14='Process DB'!$D$13,IF(AC14&gt;$GD$4,1,0),0),0)</f>
        <v>0</v>
      </c>
      <c r="GD14" s="102" t="e">
        <f>IF(GD$7&gt;0,IF(B14='Process DB'!$D$13,IF(AD14&gt;$GD$4,1,0),0),0)</f>
        <v>#DIV/0!</v>
      </c>
      <c r="GE14" s="103">
        <f t="shared" si="67"/>
        <v>0</v>
      </c>
      <c r="GF14" s="78">
        <f t="shared" si="67"/>
        <v>0</v>
      </c>
    </row>
    <row r="15" spans="1:189" ht="15" customHeight="1">
      <c r="B15" s="19" t="str">
        <f>VLOOKUP('Process DS'!$D14,'Process DB'!$C$7:$AA$41,B$4)</f>
        <v>-</v>
      </c>
      <c r="C15" s="17">
        <f>VLOOKUP('Process DS'!$D14,'Process DB'!$C$7:$AA$41,C$4)</f>
        <v>0</v>
      </c>
      <c r="D15" s="18">
        <f>VLOOKUP('Process DS'!$D14,'Process DB'!$C$7:$AA$41,D$4)</f>
        <v>0</v>
      </c>
      <c r="E15" s="19">
        <f>VLOOKUP('Process DS'!$D14,'Process DB'!$C$7:$AA$41,E$4)</f>
        <v>0</v>
      </c>
      <c r="F15" s="19">
        <f>VLOOKUP('Process DS'!$D14,'Process DB'!$C$7:$AA$41,F$4)</f>
        <v>0</v>
      </c>
      <c r="G15" s="20">
        <f>VLOOKUP('Process DS'!$D14,'Process DB'!$C$7:$AA$41,G$4)</f>
        <v>0</v>
      </c>
      <c r="H15" s="20">
        <f>VLOOKUP('Process DS'!$D14,'Process DB'!$C$7:$AA$41,H$4)</f>
        <v>0</v>
      </c>
      <c r="I15" s="21">
        <f>VLOOKUP('Process DS'!$D14,'Process DB'!$C$7:$AA$41,I$4)</f>
        <v>0</v>
      </c>
      <c r="J15" s="14">
        <f>VLOOKUP('Process DS'!$D14,'Process DB'!$C$7:$AA$41,J$4)</f>
        <v>0</v>
      </c>
      <c r="K15" s="14">
        <f>VLOOKUP('Process DS'!$D14,'Process DB'!$C$7:$AA$41,K$4)</f>
        <v>0</v>
      </c>
      <c r="L15" s="21">
        <f>VLOOKUP('Process DS'!$D14,'Process DB'!$C$7:$AA$41,L$4)</f>
        <v>0</v>
      </c>
      <c r="M15" s="14">
        <f>VLOOKUP('Process DS'!$D14,'Process DB'!$C$7:$AA$41,M$4)</f>
        <v>0</v>
      </c>
      <c r="N15" s="15">
        <f>VLOOKUP('Process DS'!$D14,'Process DB'!$C$7:$AA$41,N$4)</f>
        <v>0</v>
      </c>
      <c r="O15" s="15">
        <f>VLOOKUP('Process DS'!$D14,'Process DB'!$C$7:$AA$41,O$4)</f>
        <v>0</v>
      </c>
      <c r="P15" s="15">
        <f>VLOOKUP('Process DS'!$D14,'Process DB'!$C$7:$AA$41,P$4)</f>
        <v>0</v>
      </c>
      <c r="Q15" s="15">
        <f>VLOOKUP('Process DS'!$D14,'Process DB'!$C$7:$AA$41,Q$4)</f>
        <v>0</v>
      </c>
      <c r="R15" s="15">
        <f>VLOOKUP('Process DS'!$D14,'Process DB'!$C$7:$AA$41,R$4)</f>
        <v>0</v>
      </c>
      <c r="S15" s="15">
        <f>VLOOKUP('Process DS'!$D14,'Process DB'!$C$7:$AA$41,S$4)</f>
        <v>0</v>
      </c>
      <c r="T15" s="15">
        <f>VLOOKUP('Process DS'!$D14,'Process DB'!$C$7:$AA$41,T$4)</f>
        <v>0</v>
      </c>
      <c r="U15" s="17">
        <f>VLOOKUP('Process DS'!$D14,'Process DB'!$C$7:$AA$41,U$4)</f>
        <v>0</v>
      </c>
      <c r="V15" s="12">
        <f>VLOOKUP('Process DS'!$D14,'Process DB'!$C$7:$AA$41,V$4)</f>
        <v>0</v>
      </c>
      <c r="W15" s="15">
        <f>VLOOKUP('Process DS'!$D14,'Process DB'!$C$7:$AA$41,W$4)</f>
        <v>0</v>
      </c>
      <c r="X15" s="15">
        <f>VLOOKUP('Process DS'!$D14,'Process DB'!$C$7:$AA$41,X$4)</f>
        <v>0</v>
      </c>
      <c r="Y15" s="15">
        <f>VLOOKUP('Process DS'!$D14,'Process DB'!$C$7:$AA$41,Y$4)</f>
        <v>0</v>
      </c>
      <c r="Z15" s="17"/>
      <c r="AB15" s="76">
        <f t="shared" si="1"/>
        <v>0</v>
      </c>
      <c r="AC15" s="77">
        <f t="shared" si="68"/>
        <v>0</v>
      </c>
      <c r="AD15" s="76" t="e">
        <f t="shared" si="69"/>
        <v>#DIV/0!</v>
      </c>
      <c r="AF15" s="78">
        <f t="shared" si="2"/>
        <v>0</v>
      </c>
      <c r="AG15" s="78">
        <f t="shared" si="2"/>
        <v>0</v>
      </c>
      <c r="AH15" s="79" t="e">
        <f t="shared" si="2"/>
        <v>#DIV/0!</v>
      </c>
      <c r="AI15" s="80">
        <f t="shared" si="70"/>
        <v>0</v>
      </c>
      <c r="AJ15" s="80">
        <f t="shared" si="70"/>
        <v>0</v>
      </c>
      <c r="AK15" s="81" t="e">
        <f t="shared" si="70"/>
        <v>#DIV/0!</v>
      </c>
      <c r="AL15" s="105">
        <f t="shared" si="71"/>
        <v>0</v>
      </c>
      <c r="AM15" s="82">
        <f t="shared" si="71"/>
        <v>0</v>
      </c>
      <c r="AN15" s="81" t="e">
        <f t="shared" si="71"/>
        <v>#DIV/0!</v>
      </c>
      <c r="AO15" s="84">
        <f t="shared" si="72"/>
        <v>0</v>
      </c>
      <c r="AP15" s="84">
        <f t="shared" si="73"/>
        <v>0</v>
      </c>
      <c r="AQ15" s="84">
        <f t="shared" si="74"/>
        <v>0</v>
      </c>
      <c r="AR15" s="84">
        <f t="shared" si="75"/>
        <v>0</v>
      </c>
      <c r="AS15" s="84" t="e">
        <f t="shared" si="76"/>
        <v>#DIV/0!</v>
      </c>
      <c r="AT15" s="85" t="e">
        <f t="shared" si="77"/>
        <v>#DIV/0!</v>
      </c>
      <c r="AU15" s="83">
        <f t="shared" si="78"/>
        <v>0</v>
      </c>
      <c r="AV15" s="83">
        <f t="shared" si="79"/>
        <v>0</v>
      </c>
      <c r="AW15" s="83">
        <f t="shared" si="3"/>
        <v>0</v>
      </c>
      <c r="AX15" s="83">
        <f t="shared" si="80"/>
        <v>0</v>
      </c>
      <c r="AY15" s="84" t="e">
        <f t="shared" si="81"/>
        <v>#DIV/0!</v>
      </c>
      <c r="AZ15" s="86" t="e">
        <f t="shared" si="82"/>
        <v>#DIV/0!</v>
      </c>
      <c r="BA15" s="87">
        <f t="shared" si="4"/>
        <v>0</v>
      </c>
      <c r="BB15" s="87">
        <f t="shared" si="4"/>
        <v>0</v>
      </c>
      <c r="BC15" s="88" t="e">
        <f t="shared" si="4"/>
        <v>#DIV/0!</v>
      </c>
      <c r="BD15" s="89">
        <f t="shared" si="5"/>
        <v>0</v>
      </c>
      <c r="BE15" s="89">
        <f t="shared" si="5"/>
        <v>0</v>
      </c>
      <c r="BF15" s="90">
        <f t="shared" si="5"/>
        <v>0</v>
      </c>
      <c r="BG15" s="91">
        <f t="shared" si="83"/>
        <v>0</v>
      </c>
      <c r="BH15" s="91">
        <f t="shared" si="84"/>
        <v>0</v>
      </c>
      <c r="BI15" s="91">
        <f t="shared" si="85"/>
        <v>0</v>
      </c>
      <c r="BJ15" s="91">
        <f t="shared" si="86"/>
        <v>0</v>
      </c>
      <c r="BK15" s="91">
        <f t="shared" si="87"/>
        <v>0</v>
      </c>
      <c r="BL15" s="91">
        <f t="shared" si="88"/>
        <v>0</v>
      </c>
      <c r="BM15" s="91">
        <f t="shared" si="89"/>
        <v>0</v>
      </c>
      <c r="BN15" s="91">
        <f t="shared" si="90"/>
        <v>0</v>
      </c>
      <c r="BO15" s="91">
        <f t="shared" si="91"/>
        <v>0</v>
      </c>
      <c r="BP15" s="91">
        <f t="shared" si="92"/>
        <v>0</v>
      </c>
      <c r="BQ15" s="91">
        <f t="shared" si="93"/>
        <v>0</v>
      </c>
      <c r="BR15" s="91">
        <f t="shared" si="94"/>
        <v>0</v>
      </c>
      <c r="BS15" s="91">
        <f t="shared" si="95"/>
        <v>0</v>
      </c>
      <c r="BT15" s="91">
        <f t="shared" si="96"/>
        <v>0</v>
      </c>
      <c r="BU15" s="91">
        <f t="shared" si="97"/>
        <v>0</v>
      </c>
      <c r="BV15" s="91">
        <f t="shared" si="98"/>
        <v>0</v>
      </c>
      <c r="BW15" s="91">
        <f t="shared" si="99"/>
        <v>0</v>
      </c>
      <c r="BX15" s="90">
        <f t="shared" si="100"/>
        <v>0</v>
      </c>
      <c r="BY15" s="91">
        <f t="shared" si="101"/>
        <v>0</v>
      </c>
      <c r="BZ15" s="91">
        <f t="shared" si="102"/>
        <v>0</v>
      </c>
      <c r="CA15" s="91">
        <f t="shared" si="103"/>
        <v>0</v>
      </c>
      <c r="CB15" s="91">
        <f t="shared" si="104"/>
        <v>0</v>
      </c>
      <c r="CC15" s="91">
        <f t="shared" si="105"/>
        <v>0</v>
      </c>
      <c r="CD15" s="91">
        <f t="shared" si="106"/>
        <v>0</v>
      </c>
      <c r="CE15" s="91">
        <f t="shared" si="107"/>
        <v>0</v>
      </c>
      <c r="CF15" s="91">
        <f t="shared" si="108"/>
        <v>0</v>
      </c>
      <c r="CG15" s="91">
        <f t="shared" si="109"/>
        <v>0</v>
      </c>
      <c r="CH15" s="91">
        <f t="shared" si="110"/>
        <v>0</v>
      </c>
      <c r="CI15" s="91">
        <f t="shared" si="111"/>
        <v>0</v>
      </c>
      <c r="CJ15" s="91">
        <f t="shared" si="112"/>
        <v>0</v>
      </c>
      <c r="CK15" s="91">
        <f t="shared" si="113"/>
        <v>0</v>
      </c>
      <c r="CL15" s="91">
        <f t="shared" si="114"/>
        <v>0</v>
      </c>
      <c r="CM15" s="91">
        <f t="shared" si="115"/>
        <v>0</v>
      </c>
      <c r="CN15" s="91">
        <f t="shared" si="116"/>
        <v>0</v>
      </c>
      <c r="CO15" s="91">
        <f t="shared" si="117"/>
        <v>0</v>
      </c>
      <c r="CP15" s="90">
        <f t="shared" si="118"/>
        <v>0</v>
      </c>
      <c r="CQ15" s="106" t="e">
        <f t="shared" si="119"/>
        <v>#DIV/0!</v>
      </c>
      <c r="CR15" s="91" t="e">
        <f t="shared" si="120"/>
        <v>#DIV/0!</v>
      </c>
      <c r="CS15" s="91" t="e">
        <f t="shared" si="121"/>
        <v>#DIV/0!</v>
      </c>
      <c r="CT15" s="91" t="e">
        <f t="shared" si="122"/>
        <v>#DIV/0!</v>
      </c>
      <c r="CU15" s="91" t="e">
        <f t="shared" si="123"/>
        <v>#DIV/0!</v>
      </c>
      <c r="CV15" s="91" t="e">
        <f t="shared" si="124"/>
        <v>#DIV/0!</v>
      </c>
      <c r="CW15" s="91" t="e">
        <f t="shared" si="125"/>
        <v>#DIV/0!</v>
      </c>
      <c r="CX15" s="91" t="e">
        <f t="shared" si="126"/>
        <v>#DIV/0!</v>
      </c>
      <c r="CY15" s="91" t="e">
        <f t="shared" si="127"/>
        <v>#DIV/0!</v>
      </c>
      <c r="CZ15" s="91" t="e">
        <f t="shared" si="128"/>
        <v>#DIV/0!</v>
      </c>
      <c r="DA15" s="91" t="e">
        <f t="shared" si="129"/>
        <v>#DIV/0!</v>
      </c>
      <c r="DB15" s="91" t="e">
        <f t="shared" si="130"/>
        <v>#DIV/0!</v>
      </c>
      <c r="DC15" s="91" t="e">
        <f t="shared" si="131"/>
        <v>#DIV/0!</v>
      </c>
      <c r="DD15" s="91" t="e">
        <f t="shared" si="132"/>
        <v>#DIV/0!</v>
      </c>
      <c r="DE15" s="91" t="e">
        <f t="shared" si="133"/>
        <v>#DIV/0!</v>
      </c>
      <c r="DF15" s="91" t="e">
        <f t="shared" si="134"/>
        <v>#DIV/0!</v>
      </c>
      <c r="DG15" s="91" t="e">
        <f t="shared" si="135"/>
        <v>#DIV/0!</v>
      </c>
      <c r="DH15" s="92" t="e">
        <f t="shared" si="136"/>
        <v>#DIV/0!</v>
      </c>
      <c r="DI15" s="93">
        <f t="shared" si="137"/>
        <v>0</v>
      </c>
      <c r="DJ15" s="94">
        <f t="shared" si="6"/>
        <v>1</v>
      </c>
      <c r="DK15" s="95">
        <f t="shared" si="7"/>
        <v>0</v>
      </c>
      <c r="DL15" s="95">
        <f t="shared" si="138"/>
        <v>0</v>
      </c>
      <c r="DM15" s="95">
        <f t="shared" si="8"/>
        <v>0</v>
      </c>
      <c r="DN15" s="95">
        <f t="shared" si="139"/>
        <v>0</v>
      </c>
      <c r="DO15" s="95">
        <f t="shared" si="9"/>
        <v>0</v>
      </c>
      <c r="DP15" s="95">
        <f t="shared" si="140"/>
        <v>0</v>
      </c>
      <c r="DQ15" s="96">
        <f t="shared" si="10"/>
        <v>0</v>
      </c>
      <c r="DR15" s="96">
        <f t="shared" si="11"/>
        <v>0</v>
      </c>
      <c r="DS15" s="97">
        <f t="shared" si="12"/>
        <v>0</v>
      </c>
      <c r="DT15" s="98">
        <f t="shared" si="13"/>
        <v>0</v>
      </c>
      <c r="DU15" s="98">
        <f t="shared" si="14"/>
        <v>0</v>
      </c>
      <c r="DV15" s="98">
        <f t="shared" si="15"/>
        <v>0</v>
      </c>
      <c r="DW15" s="98">
        <f t="shared" si="16"/>
        <v>0</v>
      </c>
      <c r="DX15" s="98">
        <f t="shared" si="17"/>
        <v>0</v>
      </c>
      <c r="DY15" s="98">
        <f t="shared" si="18"/>
        <v>0</v>
      </c>
      <c r="DZ15" s="98">
        <f t="shared" si="19"/>
        <v>0</v>
      </c>
      <c r="EA15" s="98">
        <f t="shared" si="20"/>
        <v>0</v>
      </c>
      <c r="EB15" s="98">
        <f t="shared" si="21"/>
        <v>0</v>
      </c>
      <c r="EC15" s="98">
        <f t="shared" si="22"/>
        <v>0</v>
      </c>
      <c r="ED15" s="98">
        <f t="shared" si="23"/>
        <v>0</v>
      </c>
      <c r="EE15" s="98">
        <f t="shared" si="24"/>
        <v>0</v>
      </c>
      <c r="EF15" s="98">
        <f t="shared" si="25"/>
        <v>0</v>
      </c>
      <c r="EG15" s="98">
        <f t="shared" si="26"/>
        <v>0</v>
      </c>
      <c r="EH15" s="98">
        <f t="shared" si="27"/>
        <v>0</v>
      </c>
      <c r="EI15" s="98">
        <f t="shared" si="28"/>
        <v>0</v>
      </c>
      <c r="EJ15" s="98">
        <f t="shared" si="29"/>
        <v>0</v>
      </c>
      <c r="EK15" s="99">
        <f t="shared" si="30"/>
        <v>0</v>
      </c>
      <c r="EL15" s="98">
        <f t="shared" si="31"/>
        <v>0</v>
      </c>
      <c r="EM15" s="98">
        <f t="shared" si="32"/>
        <v>0</v>
      </c>
      <c r="EN15" s="98">
        <f t="shared" si="33"/>
        <v>0</v>
      </c>
      <c r="EO15" s="98">
        <f t="shared" si="34"/>
        <v>0</v>
      </c>
      <c r="EP15" s="98">
        <f t="shared" si="35"/>
        <v>0</v>
      </c>
      <c r="EQ15" s="98">
        <f t="shared" si="36"/>
        <v>0</v>
      </c>
      <c r="ER15" s="98">
        <f t="shared" si="37"/>
        <v>0</v>
      </c>
      <c r="ES15" s="98">
        <f t="shared" si="38"/>
        <v>0</v>
      </c>
      <c r="ET15" s="98">
        <f t="shared" si="39"/>
        <v>0</v>
      </c>
      <c r="EU15" s="98">
        <f t="shared" si="40"/>
        <v>0</v>
      </c>
      <c r="EV15" s="98">
        <f t="shared" si="41"/>
        <v>0</v>
      </c>
      <c r="EW15" s="98">
        <f t="shared" si="42"/>
        <v>0</v>
      </c>
      <c r="EX15" s="98">
        <f t="shared" si="43"/>
        <v>0</v>
      </c>
      <c r="EY15" s="98">
        <f t="shared" si="44"/>
        <v>0</v>
      </c>
      <c r="EZ15" s="98">
        <f t="shared" si="45"/>
        <v>0</v>
      </c>
      <c r="FA15" s="98">
        <f t="shared" si="46"/>
        <v>0</v>
      </c>
      <c r="FB15" s="98">
        <f t="shared" si="47"/>
        <v>0</v>
      </c>
      <c r="FC15" s="98">
        <f t="shared" si="48"/>
        <v>0</v>
      </c>
      <c r="FD15" s="100" t="e">
        <f t="shared" si="49"/>
        <v>#DIV/0!</v>
      </c>
      <c r="FE15" s="98" t="e">
        <f t="shared" si="50"/>
        <v>#DIV/0!</v>
      </c>
      <c r="FF15" s="98" t="e">
        <f t="shared" si="51"/>
        <v>#DIV/0!</v>
      </c>
      <c r="FG15" s="98" t="e">
        <f t="shared" si="52"/>
        <v>#DIV/0!</v>
      </c>
      <c r="FH15" s="98" t="e">
        <f t="shared" si="53"/>
        <v>#DIV/0!</v>
      </c>
      <c r="FI15" s="98" t="e">
        <f t="shared" si="54"/>
        <v>#DIV/0!</v>
      </c>
      <c r="FJ15" s="98" t="e">
        <f t="shared" si="55"/>
        <v>#DIV/0!</v>
      </c>
      <c r="FK15" s="98" t="e">
        <f t="shared" si="56"/>
        <v>#DIV/0!</v>
      </c>
      <c r="FL15" s="98" t="e">
        <f t="shared" si="57"/>
        <v>#DIV/0!</v>
      </c>
      <c r="FM15" s="98" t="e">
        <f t="shared" si="58"/>
        <v>#DIV/0!</v>
      </c>
      <c r="FN15" s="98" t="e">
        <f t="shared" si="59"/>
        <v>#DIV/0!</v>
      </c>
      <c r="FO15" s="98" t="e">
        <f t="shared" si="60"/>
        <v>#DIV/0!</v>
      </c>
      <c r="FP15" s="98" t="e">
        <f t="shared" si="61"/>
        <v>#DIV/0!</v>
      </c>
      <c r="FQ15" s="98" t="e">
        <f t="shared" si="62"/>
        <v>#DIV/0!</v>
      </c>
      <c r="FR15" s="98" t="e">
        <f t="shared" si="63"/>
        <v>#DIV/0!</v>
      </c>
      <c r="FS15" s="98" t="e">
        <f t="shared" si="64"/>
        <v>#DIV/0!</v>
      </c>
      <c r="FT15" s="98" t="e">
        <f t="shared" si="65"/>
        <v>#DIV/0!</v>
      </c>
      <c r="FU15" s="98" t="e">
        <f t="shared" si="66"/>
        <v>#DIV/0!</v>
      </c>
      <c r="FV15" s="101">
        <f>IF(B15='Process DB'!$D$27,IF(AB15&gt;$FX$4,1,0),0)</f>
        <v>0</v>
      </c>
      <c r="FW15" s="50">
        <f>IF(B15='Process DB'!$D$27,IF(AC15&gt;$FX$4,1,0),0)</f>
        <v>0</v>
      </c>
      <c r="FX15" s="50">
        <f>IF(B15='Process DB'!$D$27,IF(AD15&gt;$FX$4,1,0),0)</f>
        <v>0</v>
      </c>
      <c r="FY15" s="41"/>
      <c r="GB15" s="101">
        <f>IF(GB$7&gt;0,IF(B15='Process DB'!$D$13,IF(AB15&gt;$GD$4,1,0),0),0)</f>
        <v>0</v>
      </c>
      <c r="GC15" s="102">
        <f>IF(GC$7&gt;0,IF(B15='Process DB'!$D$13,IF(AC15&gt;$GD$4,1,0),0),0)</f>
        <v>0</v>
      </c>
      <c r="GD15" s="102" t="e">
        <f>IF(GD$7&gt;0,IF(B15='Process DB'!$D$13,IF(AD15&gt;$GD$4,1,0),0),0)</f>
        <v>#DIV/0!</v>
      </c>
      <c r="GE15" s="103">
        <f t="shared" si="67"/>
        <v>0</v>
      </c>
      <c r="GF15" s="78">
        <f t="shared" si="67"/>
        <v>0</v>
      </c>
    </row>
    <row r="16" spans="1:189" ht="15" customHeight="1">
      <c r="B16" s="19" t="str">
        <f>VLOOKUP('Process DS'!$D15,'Process DB'!$C$7:$AA$41,B$4)</f>
        <v>-</v>
      </c>
      <c r="C16" s="17">
        <f>VLOOKUP('Process DS'!$D15,'Process DB'!$C$7:$AA$41,C$4)</f>
        <v>0</v>
      </c>
      <c r="D16" s="18">
        <f>VLOOKUP('Process DS'!$D15,'Process DB'!$C$7:$AA$41,D$4)</f>
        <v>0</v>
      </c>
      <c r="E16" s="19">
        <f>VLOOKUP('Process DS'!$D15,'Process DB'!$C$7:$AA$41,E$4)</f>
        <v>0</v>
      </c>
      <c r="F16" s="19">
        <f>VLOOKUP('Process DS'!$D15,'Process DB'!$C$7:$AA$41,F$4)</f>
        <v>0</v>
      </c>
      <c r="G16" s="20">
        <f>VLOOKUP('Process DS'!$D15,'Process DB'!$C$7:$AA$41,G$4)</f>
        <v>0</v>
      </c>
      <c r="H16" s="20">
        <f>VLOOKUP('Process DS'!$D15,'Process DB'!$C$7:$AA$41,H$4)</f>
        <v>0</v>
      </c>
      <c r="I16" s="21">
        <f>VLOOKUP('Process DS'!$D15,'Process DB'!$C$7:$AA$41,I$4)</f>
        <v>0</v>
      </c>
      <c r="J16" s="14">
        <f>VLOOKUP('Process DS'!$D15,'Process DB'!$C$7:$AA$41,J$4)</f>
        <v>0</v>
      </c>
      <c r="K16" s="14">
        <f>VLOOKUP('Process DS'!$D15,'Process DB'!$C$7:$AA$41,K$4)</f>
        <v>0</v>
      </c>
      <c r="L16" s="21">
        <f>VLOOKUP('Process DS'!$D15,'Process DB'!$C$7:$AA$41,L$4)</f>
        <v>0</v>
      </c>
      <c r="M16" s="14">
        <f>VLOOKUP('Process DS'!$D15,'Process DB'!$C$7:$AA$41,M$4)</f>
        <v>0</v>
      </c>
      <c r="N16" s="15">
        <f>VLOOKUP('Process DS'!$D15,'Process DB'!$C$7:$AA$41,N$4)</f>
        <v>0</v>
      </c>
      <c r="O16" s="15">
        <f>VLOOKUP('Process DS'!$D15,'Process DB'!$C$7:$AA$41,O$4)</f>
        <v>0</v>
      </c>
      <c r="P16" s="15">
        <f>VLOOKUP('Process DS'!$D15,'Process DB'!$C$7:$AA$41,P$4)</f>
        <v>0</v>
      </c>
      <c r="Q16" s="15">
        <f>VLOOKUP('Process DS'!$D15,'Process DB'!$C$7:$AA$41,Q$4)</f>
        <v>0</v>
      </c>
      <c r="R16" s="15">
        <f>VLOOKUP('Process DS'!$D15,'Process DB'!$C$7:$AA$41,R$4)</f>
        <v>0</v>
      </c>
      <c r="S16" s="15">
        <f>VLOOKUP('Process DS'!$D15,'Process DB'!$C$7:$AA$41,S$4)</f>
        <v>0</v>
      </c>
      <c r="T16" s="15">
        <f>VLOOKUP('Process DS'!$D15,'Process DB'!$C$7:$AA$41,T$4)</f>
        <v>0</v>
      </c>
      <c r="U16" s="17">
        <f>VLOOKUP('Process DS'!$D15,'Process DB'!$C$7:$AA$41,U$4)</f>
        <v>0</v>
      </c>
      <c r="V16" s="12">
        <f>VLOOKUP('Process DS'!$D15,'Process DB'!$C$7:$AA$41,V$4)</f>
        <v>0</v>
      </c>
      <c r="W16" s="15">
        <f>VLOOKUP('Process DS'!$D15,'Process DB'!$C$7:$AA$41,W$4)</f>
        <v>0</v>
      </c>
      <c r="X16" s="15">
        <f>VLOOKUP('Process DS'!$D15,'Process DB'!$C$7:$AA$41,X$4)</f>
        <v>0</v>
      </c>
      <c r="Y16" s="15">
        <f>VLOOKUP('Process DS'!$D15,'Process DB'!$C$7:$AA$41,Y$4)</f>
        <v>0</v>
      </c>
      <c r="Z16" s="17"/>
      <c r="AB16" s="76">
        <f t="shared" si="1"/>
        <v>0</v>
      </c>
      <c r="AC16" s="77">
        <f t="shared" si="68"/>
        <v>0</v>
      </c>
      <c r="AD16" s="76" t="e">
        <f t="shared" si="69"/>
        <v>#DIV/0!</v>
      </c>
      <c r="AF16" s="78">
        <f t="shared" si="2"/>
        <v>0</v>
      </c>
      <c r="AG16" s="78">
        <f t="shared" si="2"/>
        <v>0</v>
      </c>
      <c r="AH16" s="79" t="e">
        <f t="shared" si="2"/>
        <v>#DIV/0!</v>
      </c>
      <c r="AI16" s="80">
        <f t="shared" si="70"/>
        <v>0</v>
      </c>
      <c r="AJ16" s="80">
        <f t="shared" si="70"/>
        <v>0</v>
      </c>
      <c r="AK16" s="81" t="e">
        <f t="shared" si="70"/>
        <v>#DIV/0!</v>
      </c>
      <c r="AL16" s="105">
        <f t="shared" si="71"/>
        <v>0</v>
      </c>
      <c r="AM16" s="82">
        <f t="shared" si="71"/>
        <v>0</v>
      </c>
      <c r="AN16" s="81" t="e">
        <f t="shared" si="71"/>
        <v>#DIV/0!</v>
      </c>
      <c r="AO16" s="84">
        <f t="shared" si="72"/>
        <v>0</v>
      </c>
      <c r="AP16" s="84">
        <f t="shared" si="73"/>
        <v>0</v>
      </c>
      <c r="AQ16" s="84">
        <f t="shared" si="74"/>
        <v>0</v>
      </c>
      <c r="AR16" s="84">
        <f t="shared" si="75"/>
        <v>0</v>
      </c>
      <c r="AS16" s="84" t="e">
        <f t="shared" si="76"/>
        <v>#DIV/0!</v>
      </c>
      <c r="AT16" s="85" t="e">
        <f t="shared" si="77"/>
        <v>#DIV/0!</v>
      </c>
      <c r="AU16" s="83">
        <f t="shared" si="78"/>
        <v>0</v>
      </c>
      <c r="AV16" s="83">
        <f t="shared" si="79"/>
        <v>0</v>
      </c>
      <c r="AW16" s="83">
        <f t="shared" si="3"/>
        <v>0</v>
      </c>
      <c r="AX16" s="83">
        <f t="shared" si="80"/>
        <v>0</v>
      </c>
      <c r="AY16" s="84" t="e">
        <f t="shared" si="81"/>
        <v>#DIV/0!</v>
      </c>
      <c r="AZ16" s="86" t="e">
        <f t="shared" si="82"/>
        <v>#DIV/0!</v>
      </c>
      <c r="BA16" s="87">
        <f t="shared" si="4"/>
        <v>0</v>
      </c>
      <c r="BB16" s="87">
        <f t="shared" si="4"/>
        <v>0</v>
      </c>
      <c r="BC16" s="88" t="e">
        <f t="shared" si="4"/>
        <v>#DIV/0!</v>
      </c>
      <c r="BD16" s="89">
        <f t="shared" si="5"/>
        <v>0</v>
      </c>
      <c r="BE16" s="89">
        <f t="shared" si="5"/>
        <v>0</v>
      </c>
      <c r="BF16" s="90">
        <f t="shared" si="5"/>
        <v>0</v>
      </c>
      <c r="BG16" s="91">
        <f t="shared" si="83"/>
        <v>0</v>
      </c>
      <c r="BH16" s="91">
        <f t="shared" si="84"/>
        <v>0</v>
      </c>
      <c r="BI16" s="91">
        <f t="shared" si="85"/>
        <v>0</v>
      </c>
      <c r="BJ16" s="91">
        <f t="shared" si="86"/>
        <v>0</v>
      </c>
      <c r="BK16" s="91">
        <f t="shared" si="87"/>
        <v>0</v>
      </c>
      <c r="BL16" s="91">
        <f t="shared" si="88"/>
        <v>0</v>
      </c>
      <c r="BM16" s="91">
        <f t="shared" si="89"/>
        <v>0</v>
      </c>
      <c r="BN16" s="91">
        <f t="shared" si="90"/>
        <v>0</v>
      </c>
      <c r="BO16" s="91">
        <f t="shared" si="91"/>
        <v>0</v>
      </c>
      <c r="BP16" s="91">
        <f t="shared" si="92"/>
        <v>0</v>
      </c>
      <c r="BQ16" s="91">
        <f t="shared" si="93"/>
        <v>0</v>
      </c>
      <c r="BR16" s="91">
        <f t="shared" si="94"/>
        <v>0</v>
      </c>
      <c r="BS16" s="91">
        <f t="shared" si="95"/>
        <v>0</v>
      </c>
      <c r="BT16" s="91">
        <f t="shared" si="96"/>
        <v>0</v>
      </c>
      <c r="BU16" s="91">
        <f t="shared" si="97"/>
        <v>0</v>
      </c>
      <c r="BV16" s="91">
        <f t="shared" si="98"/>
        <v>0</v>
      </c>
      <c r="BW16" s="91">
        <f t="shared" si="99"/>
        <v>0</v>
      </c>
      <c r="BX16" s="90">
        <f t="shared" si="100"/>
        <v>0</v>
      </c>
      <c r="BY16" s="91">
        <f t="shared" si="101"/>
        <v>0</v>
      </c>
      <c r="BZ16" s="91">
        <f t="shared" si="102"/>
        <v>0</v>
      </c>
      <c r="CA16" s="91">
        <f t="shared" si="103"/>
        <v>0</v>
      </c>
      <c r="CB16" s="91">
        <f t="shared" si="104"/>
        <v>0</v>
      </c>
      <c r="CC16" s="91">
        <f t="shared" si="105"/>
        <v>0</v>
      </c>
      <c r="CD16" s="91">
        <f t="shared" si="106"/>
        <v>0</v>
      </c>
      <c r="CE16" s="91">
        <f t="shared" si="107"/>
        <v>0</v>
      </c>
      <c r="CF16" s="91">
        <f t="shared" si="108"/>
        <v>0</v>
      </c>
      <c r="CG16" s="91">
        <f t="shared" si="109"/>
        <v>0</v>
      </c>
      <c r="CH16" s="91">
        <f t="shared" si="110"/>
        <v>0</v>
      </c>
      <c r="CI16" s="91">
        <f t="shared" si="111"/>
        <v>0</v>
      </c>
      <c r="CJ16" s="91">
        <f t="shared" si="112"/>
        <v>0</v>
      </c>
      <c r="CK16" s="91">
        <f t="shared" si="113"/>
        <v>0</v>
      </c>
      <c r="CL16" s="91">
        <f t="shared" si="114"/>
        <v>0</v>
      </c>
      <c r="CM16" s="91">
        <f t="shared" si="115"/>
        <v>0</v>
      </c>
      <c r="CN16" s="91">
        <f t="shared" si="116"/>
        <v>0</v>
      </c>
      <c r="CO16" s="91">
        <f t="shared" si="117"/>
        <v>0</v>
      </c>
      <c r="CP16" s="90">
        <f t="shared" si="118"/>
        <v>0</v>
      </c>
      <c r="CQ16" s="106" t="e">
        <f t="shared" si="119"/>
        <v>#DIV/0!</v>
      </c>
      <c r="CR16" s="91" t="e">
        <f t="shared" si="120"/>
        <v>#DIV/0!</v>
      </c>
      <c r="CS16" s="91" t="e">
        <f t="shared" si="121"/>
        <v>#DIV/0!</v>
      </c>
      <c r="CT16" s="91" t="e">
        <f t="shared" si="122"/>
        <v>#DIV/0!</v>
      </c>
      <c r="CU16" s="91" t="e">
        <f t="shared" si="123"/>
        <v>#DIV/0!</v>
      </c>
      <c r="CV16" s="91" t="e">
        <f t="shared" si="124"/>
        <v>#DIV/0!</v>
      </c>
      <c r="CW16" s="91" t="e">
        <f t="shared" si="125"/>
        <v>#DIV/0!</v>
      </c>
      <c r="CX16" s="91" t="e">
        <f t="shared" si="126"/>
        <v>#DIV/0!</v>
      </c>
      <c r="CY16" s="91" t="e">
        <f t="shared" si="127"/>
        <v>#DIV/0!</v>
      </c>
      <c r="CZ16" s="91" t="e">
        <f t="shared" si="128"/>
        <v>#DIV/0!</v>
      </c>
      <c r="DA16" s="91" t="e">
        <f t="shared" si="129"/>
        <v>#DIV/0!</v>
      </c>
      <c r="DB16" s="91" t="e">
        <f t="shared" si="130"/>
        <v>#DIV/0!</v>
      </c>
      <c r="DC16" s="91" t="e">
        <f t="shared" si="131"/>
        <v>#DIV/0!</v>
      </c>
      <c r="DD16" s="91" t="e">
        <f t="shared" si="132"/>
        <v>#DIV/0!</v>
      </c>
      <c r="DE16" s="91" t="e">
        <f t="shared" si="133"/>
        <v>#DIV/0!</v>
      </c>
      <c r="DF16" s="91" t="e">
        <f t="shared" si="134"/>
        <v>#DIV/0!</v>
      </c>
      <c r="DG16" s="91" t="e">
        <f t="shared" si="135"/>
        <v>#DIV/0!</v>
      </c>
      <c r="DH16" s="92" t="e">
        <f t="shared" si="136"/>
        <v>#DIV/0!</v>
      </c>
      <c r="DI16" s="93">
        <f t="shared" si="137"/>
        <v>0</v>
      </c>
      <c r="DJ16" s="94">
        <f t="shared" si="6"/>
        <v>1</v>
      </c>
      <c r="DK16" s="95">
        <f t="shared" si="7"/>
        <v>0</v>
      </c>
      <c r="DL16" s="95">
        <f t="shared" si="138"/>
        <v>0</v>
      </c>
      <c r="DM16" s="95">
        <f t="shared" si="8"/>
        <v>0</v>
      </c>
      <c r="DN16" s="95">
        <f t="shared" si="139"/>
        <v>0</v>
      </c>
      <c r="DO16" s="95">
        <f t="shared" si="9"/>
        <v>0</v>
      </c>
      <c r="DP16" s="95">
        <f t="shared" si="140"/>
        <v>0</v>
      </c>
      <c r="DQ16" s="96">
        <f t="shared" si="10"/>
        <v>0</v>
      </c>
      <c r="DR16" s="96">
        <f t="shared" si="11"/>
        <v>0</v>
      </c>
      <c r="DS16" s="97">
        <f t="shared" si="12"/>
        <v>0</v>
      </c>
      <c r="DT16" s="98">
        <f t="shared" si="13"/>
        <v>0</v>
      </c>
      <c r="DU16" s="98">
        <f t="shared" si="14"/>
        <v>0</v>
      </c>
      <c r="DV16" s="98">
        <f t="shared" si="15"/>
        <v>0</v>
      </c>
      <c r="DW16" s="98">
        <f t="shared" si="16"/>
        <v>0</v>
      </c>
      <c r="DX16" s="98">
        <f t="shared" si="17"/>
        <v>0</v>
      </c>
      <c r="DY16" s="98">
        <f t="shared" si="18"/>
        <v>0</v>
      </c>
      <c r="DZ16" s="98">
        <f t="shared" si="19"/>
        <v>0</v>
      </c>
      <c r="EA16" s="98">
        <f t="shared" si="20"/>
        <v>0</v>
      </c>
      <c r="EB16" s="98">
        <f t="shared" si="21"/>
        <v>0</v>
      </c>
      <c r="EC16" s="98">
        <f t="shared" si="22"/>
        <v>0</v>
      </c>
      <c r="ED16" s="98">
        <f t="shared" si="23"/>
        <v>0</v>
      </c>
      <c r="EE16" s="98">
        <f t="shared" si="24"/>
        <v>0</v>
      </c>
      <c r="EF16" s="98">
        <f t="shared" si="25"/>
        <v>0</v>
      </c>
      <c r="EG16" s="98">
        <f t="shared" si="26"/>
        <v>0</v>
      </c>
      <c r="EH16" s="98">
        <f t="shared" si="27"/>
        <v>0</v>
      </c>
      <c r="EI16" s="98">
        <f t="shared" si="28"/>
        <v>0</v>
      </c>
      <c r="EJ16" s="98">
        <f t="shared" si="29"/>
        <v>0</v>
      </c>
      <c r="EK16" s="99">
        <f t="shared" si="30"/>
        <v>0</v>
      </c>
      <c r="EL16" s="98">
        <f t="shared" si="31"/>
        <v>0</v>
      </c>
      <c r="EM16" s="98">
        <f t="shared" si="32"/>
        <v>0</v>
      </c>
      <c r="EN16" s="98">
        <f t="shared" si="33"/>
        <v>0</v>
      </c>
      <c r="EO16" s="98">
        <f t="shared" si="34"/>
        <v>0</v>
      </c>
      <c r="EP16" s="98">
        <f t="shared" si="35"/>
        <v>0</v>
      </c>
      <c r="EQ16" s="98">
        <f t="shared" si="36"/>
        <v>0</v>
      </c>
      <c r="ER16" s="98">
        <f t="shared" si="37"/>
        <v>0</v>
      </c>
      <c r="ES16" s="98">
        <f t="shared" si="38"/>
        <v>0</v>
      </c>
      <c r="ET16" s="98">
        <f t="shared" si="39"/>
        <v>0</v>
      </c>
      <c r="EU16" s="98">
        <f t="shared" si="40"/>
        <v>0</v>
      </c>
      <c r="EV16" s="98">
        <f t="shared" si="41"/>
        <v>0</v>
      </c>
      <c r="EW16" s="98">
        <f t="shared" si="42"/>
        <v>0</v>
      </c>
      <c r="EX16" s="98">
        <f t="shared" si="43"/>
        <v>0</v>
      </c>
      <c r="EY16" s="98">
        <f t="shared" si="44"/>
        <v>0</v>
      </c>
      <c r="EZ16" s="98">
        <f t="shared" si="45"/>
        <v>0</v>
      </c>
      <c r="FA16" s="98">
        <f t="shared" si="46"/>
        <v>0</v>
      </c>
      <c r="FB16" s="98">
        <f t="shared" si="47"/>
        <v>0</v>
      </c>
      <c r="FC16" s="98">
        <f t="shared" si="48"/>
        <v>0</v>
      </c>
      <c r="FD16" s="100" t="e">
        <f t="shared" si="49"/>
        <v>#DIV/0!</v>
      </c>
      <c r="FE16" s="98" t="e">
        <f t="shared" si="50"/>
        <v>#DIV/0!</v>
      </c>
      <c r="FF16" s="98" t="e">
        <f t="shared" si="51"/>
        <v>#DIV/0!</v>
      </c>
      <c r="FG16" s="98" t="e">
        <f t="shared" si="52"/>
        <v>#DIV/0!</v>
      </c>
      <c r="FH16" s="98" t="e">
        <f t="shared" si="53"/>
        <v>#DIV/0!</v>
      </c>
      <c r="FI16" s="98" t="e">
        <f t="shared" si="54"/>
        <v>#DIV/0!</v>
      </c>
      <c r="FJ16" s="98" t="e">
        <f t="shared" si="55"/>
        <v>#DIV/0!</v>
      </c>
      <c r="FK16" s="98" t="e">
        <f t="shared" si="56"/>
        <v>#DIV/0!</v>
      </c>
      <c r="FL16" s="98" t="e">
        <f t="shared" si="57"/>
        <v>#DIV/0!</v>
      </c>
      <c r="FM16" s="98" t="e">
        <f t="shared" si="58"/>
        <v>#DIV/0!</v>
      </c>
      <c r="FN16" s="98" t="e">
        <f t="shared" si="59"/>
        <v>#DIV/0!</v>
      </c>
      <c r="FO16" s="98" t="e">
        <f t="shared" si="60"/>
        <v>#DIV/0!</v>
      </c>
      <c r="FP16" s="98" t="e">
        <f t="shared" si="61"/>
        <v>#DIV/0!</v>
      </c>
      <c r="FQ16" s="98" t="e">
        <f t="shared" si="62"/>
        <v>#DIV/0!</v>
      </c>
      <c r="FR16" s="98" t="e">
        <f t="shared" si="63"/>
        <v>#DIV/0!</v>
      </c>
      <c r="FS16" s="98" t="e">
        <f t="shared" si="64"/>
        <v>#DIV/0!</v>
      </c>
      <c r="FT16" s="98" t="e">
        <f t="shared" si="65"/>
        <v>#DIV/0!</v>
      </c>
      <c r="FU16" s="98" t="e">
        <f t="shared" si="66"/>
        <v>#DIV/0!</v>
      </c>
      <c r="FV16" s="101">
        <f>IF(B16='Process DB'!$D$27,IF(AB16&gt;$FX$4,1,0),0)</f>
        <v>0</v>
      </c>
      <c r="FW16" s="50">
        <f>IF(B16='Process DB'!$D$27,IF(AC16&gt;$FX$4,1,0),0)</f>
        <v>0</v>
      </c>
      <c r="FX16" s="50">
        <f>IF(B16='Process DB'!$D$27,IF(AD16&gt;$FX$4,1,0),0)</f>
        <v>0</v>
      </c>
      <c r="FY16" s="41"/>
      <c r="GB16" s="101">
        <f>IF(GB$7&gt;0,IF(B16='Process DB'!$D$13,IF(AB16&gt;$GD$4,1,0),0),0)</f>
        <v>0</v>
      </c>
      <c r="GC16" s="102">
        <f>IF(GC$7&gt;0,IF(B16='Process DB'!$D$13,IF(AC16&gt;$GD$4,1,0),0),0)</f>
        <v>0</v>
      </c>
      <c r="GD16" s="102" t="e">
        <f>IF(GD$7&gt;0,IF(B16='Process DB'!$D$13,IF(AD16&gt;$GD$4,1,0),0),0)</f>
        <v>#DIV/0!</v>
      </c>
      <c r="GE16" s="103">
        <f t="shared" si="67"/>
        <v>0</v>
      </c>
      <c r="GF16" s="78">
        <f t="shared" si="67"/>
        <v>0</v>
      </c>
    </row>
    <row r="17" spans="2:189" ht="15" customHeight="1">
      <c r="B17" s="19" t="str">
        <f>VLOOKUP('Process DS'!$D16,'Process DB'!$C$7:$AA$41,B$4)</f>
        <v>-</v>
      </c>
      <c r="C17" s="17">
        <f>VLOOKUP('Process DS'!$D16,'Process DB'!$C$7:$AA$41,C$4)</f>
        <v>0</v>
      </c>
      <c r="D17" s="18">
        <f>VLOOKUP('Process DS'!$D16,'Process DB'!$C$7:$AA$41,D$4)</f>
        <v>0</v>
      </c>
      <c r="E17" s="19">
        <f>VLOOKUP('Process DS'!$D16,'Process DB'!$C$7:$AA$41,E$4)</f>
        <v>0</v>
      </c>
      <c r="F17" s="19">
        <f>VLOOKUP('Process DS'!$D16,'Process DB'!$C$7:$AA$41,F$4)</f>
        <v>0</v>
      </c>
      <c r="G17" s="20">
        <f>VLOOKUP('Process DS'!$D16,'Process DB'!$C$7:$AA$41,G$4)</f>
        <v>0</v>
      </c>
      <c r="H17" s="20">
        <f>VLOOKUP('Process DS'!$D16,'Process DB'!$C$7:$AA$41,H$4)</f>
        <v>0</v>
      </c>
      <c r="I17" s="21">
        <f>VLOOKUP('Process DS'!$D16,'Process DB'!$C$7:$AA$41,I$4)</f>
        <v>0</v>
      </c>
      <c r="J17" s="14">
        <f>VLOOKUP('Process DS'!$D16,'Process DB'!$C$7:$AA$41,J$4)</f>
        <v>0</v>
      </c>
      <c r="K17" s="14">
        <f>VLOOKUP('Process DS'!$D16,'Process DB'!$C$7:$AA$41,K$4)</f>
        <v>0</v>
      </c>
      <c r="L17" s="21">
        <f>VLOOKUP('Process DS'!$D16,'Process DB'!$C$7:$AA$41,L$4)</f>
        <v>0</v>
      </c>
      <c r="M17" s="14">
        <f>VLOOKUP('Process DS'!$D16,'Process DB'!$C$7:$AA$41,M$4)</f>
        <v>0</v>
      </c>
      <c r="N17" s="15">
        <f>VLOOKUP('Process DS'!$D16,'Process DB'!$C$7:$AA$41,N$4)</f>
        <v>0</v>
      </c>
      <c r="O17" s="15">
        <f>VLOOKUP('Process DS'!$D16,'Process DB'!$C$7:$AA$41,O$4)</f>
        <v>0</v>
      </c>
      <c r="P17" s="15">
        <f>VLOOKUP('Process DS'!$D16,'Process DB'!$C$7:$AA$41,P$4)</f>
        <v>0</v>
      </c>
      <c r="Q17" s="15">
        <f>VLOOKUP('Process DS'!$D16,'Process DB'!$C$7:$AA$41,Q$4)</f>
        <v>0</v>
      </c>
      <c r="R17" s="15">
        <f>VLOOKUP('Process DS'!$D16,'Process DB'!$C$7:$AA$41,R$4)</f>
        <v>0</v>
      </c>
      <c r="S17" s="15">
        <f>VLOOKUP('Process DS'!$D16,'Process DB'!$C$7:$AA$41,S$4)</f>
        <v>0</v>
      </c>
      <c r="T17" s="15">
        <f>VLOOKUP('Process DS'!$D16,'Process DB'!$C$7:$AA$41,T$4)</f>
        <v>0</v>
      </c>
      <c r="U17" s="17">
        <f>VLOOKUP('Process DS'!$D16,'Process DB'!$C$7:$AA$41,U$4)</f>
        <v>0</v>
      </c>
      <c r="V17" s="12">
        <f>VLOOKUP('Process DS'!$D16,'Process DB'!$C$7:$AA$41,V$4)</f>
        <v>0</v>
      </c>
      <c r="W17" s="15">
        <f>VLOOKUP('Process DS'!$D16,'Process DB'!$C$7:$AA$41,W$4)</f>
        <v>0</v>
      </c>
      <c r="X17" s="15">
        <f>VLOOKUP('Process DS'!$D16,'Process DB'!$C$7:$AA$41,X$4)</f>
        <v>0</v>
      </c>
      <c r="Y17" s="15">
        <f>VLOOKUP('Process DS'!$D16,'Process DB'!$C$7:$AA$41,Y$4)</f>
        <v>0</v>
      </c>
      <c r="Z17" s="17"/>
      <c r="AB17" s="76">
        <f t="shared" si="1"/>
        <v>0</v>
      </c>
      <c r="AC17" s="77">
        <f t="shared" si="68"/>
        <v>0</v>
      </c>
      <c r="AD17" s="76" t="e">
        <f t="shared" si="69"/>
        <v>#DIV/0!</v>
      </c>
      <c r="AF17" s="78">
        <f t="shared" si="2"/>
        <v>0</v>
      </c>
      <c r="AG17" s="78">
        <f t="shared" si="2"/>
        <v>0</v>
      </c>
      <c r="AH17" s="79" t="e">
        <f t="shared" si="2"/>
        <v>#DIV/0!</v>
      </c>
      <c r="AI17" s="80">
        <f t="shared" si="70"/>
        <v>0</v>
      </c>
      <c r="AJ17" s="80">
        <f t="shared" si="70"/>
        <v>0</v>
      </c>
      <c r="AK17" s="81" t="e">
        <f t="shared" si="70"/>
        <v>#DIV/0!</v>
      </c>
      <c r="AL17" s="105">
        <f t="shared" si="71"/>
        <v>0</v>
      </c>
      <c r="AM17" s="82">
        <f t="shared" si="71"/>
        <v>0</v>
      </c>
      <c r="AN17" s="81" t="e">
        <f t="shared" si="71"/>
        <v>#DIV/0!</v>
      </c>
      <c r="AO17" s="84">
        <f t="shared" si="72"/>
        <v>0</v>
      </c>
      <c r="AP17" s="84">
        <f t="shared" si="73"/>
        <v>0</v>
      </c>
      <c r="AQ17" s="84">
        <f t="shared" si="74"/>
        <v>0</v>
      </c>
      <c r="AR17" s="84">
        <f t="shared" si="75"/>
        <v>0</v>
      </c>
      <c r="AS17" s="84" t="e">
        <f t="shared" si="76"/>
        <v>#DIV/0!</v>
      </c>
      <c r="AT17" s="85" t="e">
        <f t="shared" si="77"/>
        <v>#DIV/0!</v>
      </c>
      <c r="AU17" s="83">
        <f t="shared" si="78"/>
        <v>0</v>
      </c>
      <c r="AV17" s="83">
        <f t="shared" si="79"/>
        <v>0</v>
      </c>
      <c r="AW17" s="83">
        <f t="shared" si="3"/>
        <v>0</v>
      </c>
      <c r="AX17" s="83">
        <f t="shared" si="80"/>
        <v>0</v>
      </c>
      <c r="AY17" s="84" t="e">
        <f t="shared" si="81"/>
        <v>#DIV/0!</v>
      </c>
      <c r="AZ17" s="86" t="e">
        <f t="shared" si="82"/>
        <v>#DIV/0!</v>
      </c>
      <c r="BA17" s="87">
        <f t="shared" si="4"/>
        <v>0</v>
      </c>
      <c r="BB17" s="87">
        <f t="shared" si="4"/>
        <v>0</v>
      </c>
      <c r="BC17" s="88" t="e">
        <f t="shared" si="4"/>
        <v>#DIV/0!</v>
      </c>
      <c r="BD17" s="89">
        <f t="shared" si="5"/>
        <v>0</v>
      </c>
      <c r="BE17" s="89">
        <f t="shared" si="5"/>
        <v>0</v>
      </c>
      <c r="BF17" s="90">
        <f t="shared" si="5"/>
        <v>0</v>
      </c>
      <c r="BG17" s="91">
        <f t="shared" si="83"/>
        <v>0</v>
      </c>
      <c r="BH17" s="91">
        <f t="shared" si="84"/>
        <v>0</v>
      </c>
      <c r="BI17" s="91">
        <f t="shared" si="85"/>
        <v>0</v>
      </c>
      <c r="BJ17" s="91">
        <f t="shared" si="86"/>
        <v>0</v>
      </c>
      <c r="BK17" s="91">
        <f t="shared" si="87"/>
        <v>0</v>
      </c>
      <c r="BL17" s="91">
        <f t="shared" si="88"/>
        <v>0</v>
      </c>
      <c r="BM17" s="91">
        <f t="shared" si="89"/>
        <v>0</v>
      </c>
      <c r="BN17" s="91">
        <f t="shared" si="90"/>
        <v>0</v>
      </c>
      <c r="BO17" s="91">
        <f t="shared" si="91"/>
        <v>0</v>
      </c>
      <c r="BP17" s="91">
        <f t="shared" si="92"/>
        <v>0</v>
      </c>
      <c r="BQ17" s="91">
        <f t="shared" si="93"/>
        <v>0</v>
      </c>
      <c r="BR17" s="91">
        <f t="shared" si="94"/>
        <v>0</v>
      </c>
      <c r="BS17" s="91">
        <f t="shared" si="95"/>
        <v>0</v>
      </c>
      <c r="BT17" s="91">
        <f t="shared" si="96"/>
        <v>0</v>
      </c>
      <c r="BU17" s="91">
        <f t="shared" si="97"/>
        <v>0</v>
      </c>
      <c r="BV17" s="91">
        <f t="shared" si="98"/>
        <v>0</v>
      </c>
      <c r="BW17" s="91">
        <f t="shared" si="99"/>
        <v>0</v>
      </c>
      <c r="BX17" s="90">
        <f t="shared" si="100"/>
        <v>0</v>
      </c>
      <c r="BY17" s="91">
        <f t="shared" si="101"/>
        <v>0</v>
      </c>
      <c r="BZ17" s="91">
        <f t="shared" si="102"/>
        <v>0</v>
      </c>
      <c r="CA17" s="91">
        <f t="shared" si="103"/>
        <v>0</v>
      </c>
      <c r="CB17" s="91">
        <f t="shared" si="104"/>
        <v>0</v>
      </c>
      <c r="CC17" s="91">
        <f t="shared" si="105"/>
        <v>0</v>
      </c>
      <c r="CD17" s="91">
        <f t="shared" si="106"/>
        <v>0</v>
      </c>
      <c r="CE17" s="91">
        <f t="shared" si="107"/>
        <v>0</v>
      </c>
      <c r="CF17" s="91">
        <f t="shared" si="108"/>
        <v>0</v>
      </c>
      <c r="CG17" s="91">
        <f t="shared" si="109"/>
        <v>0</v>
      </c>
      <c r="CH17" s="91">
        <f t="shared" si="110"/>
        <v>0</v>
      </c>
      <c r="CI17" s="91">
        <f t="shared" si="111"/>
        <v>0</v>
      </c>
      <c r="CJ17" s="91">
        <f t="shared" si="112"/>
        <v>0</v>
      </c>
      <c r="CK17" s="91">
        <f t="shared" si="113"/>
        <v>0</v>
      </c>
      <c r="CL17" s="91">
        <f t="shared" si="114"/>
        <v>0</v>
      </c>
      <c r="CM17" s="91">
        <f t="shared" si="115"/>
        <v>0</v>
      </c>
      <c r="CN17" s="91">
        <f t="shared" si="116"/>
        <v>0</v>
      </c>
      <c r="CO17" s="91">
        <f t="shared" si="117"/>
        <v>0</v>
      </c>
      <c r="CP17" s="90">
        <f t="shared" si="118"/>
        <v>0</v>
      </c>
      <c r="CQ17" s="106" t="e">
        <f t="shared" si="119"/>
        <v>#DIV/0!</v>
      </c>
      <c r="CR17" s="91" t="e">
        <f t="shared" si="120"/>
        <v>#DIV/0!</v>
      </c>
      <c r="CS17" s="91" t="e">
        <f t="shared" si="121"/>
        <v>#DIV/0!</v>
      </c>
      <c r="CT17" s="91" t="e">
        <f t="shared" si="122"/>
        <v>#DIV/0!</v>
      </c>
      <c r="CU17" s="91" t="e">
        <f t="shared" si="123"/>
        <v>#DIV/0!</v>
      </c>
      <c r="CV17" s="91" t="e">
        <f t="shared" si="124"/>
        <v>#DIV/0!</v>
      </c>
      <c r="CW17" s="91" t="e">
        <f t="shared" si="125"/>
        <v>#DIV/0!</v>
      </c>
      <c r="CX17" s="91" t="e">
        <f t="shared" si="126"/>
        <v>#DIV/0!</v>
      </c>
      <c r="CY17" s="91" t="e">
        <f t="shared" si="127"/>
        <v>#DIV/0!</v>
      </c>
      <c r="CZ17" s="91" t="e">
        <f t="shared" si="128"/>
        <v>#DIV/0!</v>
      </c>
      <c r="DA17" s="91" t="e">
        <f t="shared" si="129"/>
        <v>#DIV/0!</v>
      </c>
      <c r="DB17" s="91" t="e">
        <f t="shared" si="130"/>
        <v>#DIV/0!</v>
      </c>
      <c r="DC17" s="91" t="e">
        <f t="shared" si="131"/>
        <v>#DIV/0!</v>
      </c>
      <c r="DD17" s="91" t="e">
        <f t="shared" si="132"/>
        <v>#DIV/0!</v>
      </c>
      <c r="DE17" s="91" t="e">
        <f t="shared" si="133"/>
        <v>#DIV/0!</v>
      </c>
      <c r="DF17" s="91" t="e">
        <f t="shared" si="134"/>
        <v>#DIV/0!</v>
      </c>
      <c r="DG17" s="91" t="e">
        <f t="shared" si="135"/>
        <v>#DIV/0!</v>
      </c>
      <c r="DH17" s="92" t="e">
        <f t="shared" si="136"/>
        <v>#DIV/0!</v>
      </c>
      <c r="DI17" s="93">
        <f t="shared" si="137"/>
        <v>0</v>
      </c>
      <c r="DJ17" s="94">
        <f t="shared" si="6"/>
        <v>1</v>
      </c>
      <c r="DK17" s="95">
        <f t="shared" si="7"/>
        <v>0</v>
      </c>
      <c r="DL17" s="95">
        <f t="shared" si="138"/>
        <v>0</v>
      </c>
      <c r="DM17" s="95">
        <f t="shared" si="8"/>
        <v>0</v>
      </c>
      <c r="DN17" s="95">
        <f t="shared" si="139"/>
        <v>0</v>
      </c>
      <c r="DO17" s="95">
        <f t="shared" si="9"/>
        <v>0</v>
      </c>
      <c r="DP17" s="95">
        <f t="shared" si="140"/>
        <v>0</v>
      </c>
      <c r="DQ17" s="96">
        <f t="shared" si="10"/>
        <v>0</v>
      </c>
      <c r="DR17" s="96">
        <f t="shared" si="11"/>
        <v>0</v>
      </c>
      <c r="DS17" s="97">
        <f t="shared" si="12"/>
        <v>0</v>
      </c>
      <c r="DT17" s="98">
        <f t="shared" si="13"/>
        <v>0</v>
      </c>
      <c r="DU17" s="98">
        <f t="shared" si="14"/>
        <v>0</v>
      </c>
      <c r="DV17" s="98">
        <f t="shared" si="15"/>
        <v>0</v>
      </c>
      <c r="DW17" s="98">
        <f t="shared" si="16"/>
        <v>0</v>
      </c>
      <c r="DX17" s="98">
        <f t="shared" si="17"/>
        <v>0</v>
      </c>
      <c r="DY17" s="98">
        <f t="shared" si="18"/>
        <v>0</v>
      </c>
      <c r="DZ17" s="98">
        <f t="shared" si="19"/>
        <v>0</v>
      </c>
      <c r="EA17" s="98">
        <f t="shared" si="20"/>
        <v>0</v>
      </c>
      <c r="EB17" s="98">
        <f t="shared" si="21"/>
        <v>0</v>
      </c>
      <c r="EC17" s="98">
        <f t="shared" si="22"/>
        <v>0</v>
      </c>
      <c r="ED17" s="98">
        <f t="shared" si="23"/>
        <v>0</v>
      </c>
      <c r="EE17" s="98">
        <f t="shared" si="24"/>
        <v>0</v>
      </c>
      <c r="EF17" s="98">
        <f t="shared" si="25"/>
        <v>0</v>
      </c>
      <c r="EG17" s="98">
        <f t="shared" si="26"/>
        <v>0</v>
      </c>
      <c r="EH17" s="98">
        <f t="shared" si="27"/>
        <v>0</v>
      </c>
      <c r="EI17" s="98">
        <f t="shared" si="28"/>
        <v>0</v>
      </c>
      <c r="EJ17" s="98">
        <f t="shared" si="29"/>
        <v>0</v>
      </c>
      <c r="EK17" s="99">
        <f t="shared" si="30"/>
        <v>0</v>
      </c>
      <c r="EL17" s="98">
        <f t="shared" si="31"/>
        <v>0</v>
      </c>
      <c r="EM17" s="98">
        <f t="shared" si="32"/>
        <v>0</v>
      </c>
      <c r="EN17" s="98">
        <f t="shared" si="33"/>
        <v>0</v>
      </c>
      <c r="EO17" s="98">
        <f t="shared" si="34"/>
        <v>0</v>
      </c>
      <c r="EP17" s="98">
        <f t="shared" si="35"/>
        <v>0</v>
      </c>
      <c r="EQ17" s="98">
        <f t="shared" si="36"/>
        <v>0</v>
      </c>
      <c r="ER17" s="98">
        <f t="shared" si="37"/>
        <v>0</v>
      </c>
      <c r="ES17" s="98">
        <f t="shared" si="38"/>
        <v>0</v>
      </c>
      <c r="ET17" s="98">
        <f t="shared" si="39"/>
        <v>0</v>
      </c>
      <c r="EU17" s="98">
        <f t="shared" si="40"/>
        <v>0</v>
      </c>
      <c r="EV17" s="98">
        <f t="shared" si="41"/>
        <v>0</v>
      </c>
      <c r="EW17" s="98">
        <f t="shared" si="42"/>
        <v>0</v>
      </c>
      <c r="EX17" s="98">
        <f t="shared" si="43"/>
        <v>0</v>
      </c>
      <c r="EY17" s="98">
        <f t="shared" si="44"/>
        <v>0</v>
      </c>
      <c r="EZ17" s="98">
        <f t="shared" si="45"/>
        <v>0</v>
      </c>
      <c r="FA17" s="98">
        <f t="shared" si="46"/>
        <v>0</v>
      </c>
      <c r="FB17" s="98">
        <f t="shared" si="47"/>
        <v>0</v>
      </c>
      <c r="FC17" s="98">
        <f t="shared" si="48"/>
        <v>0</v>
      </c>
      <c r="FD17" s="100" t="e">
        <f t="shared" si="49"/>
        <v>#DIV/0!</v>
      </c>
      <c r="FE17" s="98" t="e">
        <f t="shared" si="50"/>
        <v>#DIV/0!</v>
      </c>
      <c r="FF17" s="98" t="e">
        <f t="shared" si="51"/>
        <v>#DIV/0!</v>
      </c>
      <c r="FG17" s="98" t="e">
        <f t="shared" si="52"/>
        <v>#DIV/0!</v>
      </c>
      <c r="FH17" s="98" t="e">
        <f t="shared" si="53"/>
        <v>#DIV/0!</v>
      </c>
      <c r="FI17" s="98" t="e">
        <f t="shared" si="54"/>
        <v>#DIV/0!</v>
      </c>
      <c r="FJ17" s="98" t="e">
        <f t="shared" si="55"/>
        <v>#DIV/0!</v>
      </c>
      <c r="FK17" s="98" t="e">
        <f t="shared" si="56"/>
        <v>#DIV/0!</v>
      </c>
      <c r="FL17" s="98" t="e">
        <f t="shared" si="57"/>
        <v>#DIV/0!</v>
      </c>
      <c r="FM17" s="98" t="e">
        <f t="shared" si="58"/>
        <v>#DIV/0!</v>
      </c>
      <c r="FN17" s="98" t="e">
        <f t="shared" si="59"/>
        <v>#DIV/0!</v>
      </c>
      <c r="FO17" s="98" t="e">
        <f t="shared" si="60"/>
        <v>#DIV/0!</v>
      </c>
      <c r="FP17" s="98" t="e">
        <f t="shared" si="61"/>
        <v>#DIV/0!</v>
      </c>
      <c r="FQ17" s="98" t="e">
        <f t="shared" si="62"/>
        <v>#DIV/0!</v>
      </c>
      <c r="FR17" s="98" t="e">
        <f t="shared" si="63"/>
        <v>#DIV/0!</v>
      </c>
      <c r="FS17" s="98" t="e">
        <f t="shared" si="64"/>
        <v>#DIV/0!</v>
      </c>
      <c r="FT17" s="98" t="e">
        <f t="shared" si="65"/>
        <v>#DIV/0!</v>
      </c>
      <c r="FU17" s="98" t="e">
        <f t="shared" si="66"/>
        <v>#DIV/0!</v>
      </c>
      <c r="FV17" s="101">
        <f>IF(B17='Process DB'!$D$27,IF(AB17&gt;$FX$4,1,0),0)</f>
        <v>0</v>
      </c>
      <c r="FW17" s="50">
        <f>IF(B17='Process DB'!$D$27,IF(AC17&gt;$FX$4,1,0),0)</f>
        <v>0</v>
      </c>
      <c r="FX17" s="50">
        <f>IF(B17='Process DB'!$D$27,IF(AD17&gt;$FX$4,1,0),0)</f>
        <v>0</v>
      </c>
      <c r="FY17" s="41"/>
      <c r="GB17" s="101">
        <f>IF(GB$7&gt;0,IF(B17='Process DB'!$D$13,IF(AB17&gt;$GD$4,1,0),0),0)</f>
        <v>0</v>
      </c>
      <c r="GC17" s="102">
        <f>IF(GC$7&gt;0,IF(B17='Process DB'!$D$13,IF(AC17&gt;$GD$4,1,0),0),0)</f>
        <v>0</v>
      </c>
      <c r="GD17" s="102" t="e">
        <f>IF(GD$7&gt;0,IF(B17='Process DB'!$D$13,IF(AD17&gt;$GD$4,1,0),0),0)</f>
        <v>#DIV/0!</v>
      </c>
      <c r="GE17" s="103">
        <f t="shared" si="67"/>
        <v>0</v>
      </c>
      <c r="GF17" s="78">
        <f t="shared" si="67"/>
        <v>0</v>
      </c>
    </row>
    <row r="18" spans="2:189" ht="15" customHeight="1">
      <c r="B18" s="19" t="str">
        <f>VLOOKUP('Process DS'!$D17,'Process DB'!$C$7:$AA$41,B$4)</f>
        <v>-</v>
      </c>
      <c r="C18" s="17">
        <f>VLOOKUP('Process DS'!$D17,'Process DB'!$C$7:$AA$41,C$4)</f>
        <v>0</v>
      </c>
      <c r="D18" s="18">
        <f>VLOOKUP('Process DS'!$D17,'Process DB'!$C$7:$AA$41,D$4)</f>
        <v>0</v>
      </c>
      <c r="E18" s="19">
        <f>VLOOKUP('Process DS'!$D17,'Process DB'!$C$7:$AA$41,E$4)</f>
        <v>0</v>
      </c>
      <c r="F18" s="19">
        <f>VLOOKUP('Process DS'!$D17,'Process DB'!$C$7:$AA$41,F$4)</f>
        <v>0</v>
      </c>
      <c r="G18" s="20">
        <f>VLOOKUP('Process DS'!$D17,'Process DB'!$C$7:$AA$41,G$4)</f>
        <v>0</v>
      </c>
      <c r="H18" s="20">
        <f>VLOOKUP('Process DS'!$D17,'Process DB'!$C$7:$AA$41,H$4)</f>
        <v>0</v>
      </c>
      <c r="I18" s="21">
        <f>VLOOKUP('Process DS'!$D17,'Process DB'!$C$7:$AA$41,I$4)</f>
        <v>0</v>
      </c>
      <c r="J18" s="14">
        <f>VLOOKUP('Process DS'!$D17,'Process DB'!$C$7:$AA$41,J$4)</f>
        <v>0</v>
      </c>
      <c r="K18" s="14">
        <f>VLOOKUP('Process DS'!$D17,'Process DB'!$C$7:$AA$41,K$4)</f>
        <v>0</v>
      </c>
      <c r="L18" s="21">
        <f>VLOOKUP('Process DS'!$D17,'Process DB'!$C$7:$AA$41,L$4)</f>
        <v>0</v>
      </c>
      <c r="M18" s="14">
        <f>VLOOKUP('Process DS'!$D17,'Process DB'!$C$7:$AA$41,M$4)</f>
        <v>0</v>
      </c>
      <c r="N18" s="15">
        <f>VLOOKUP('Process DS'!$D17,'Process DB'!$C$7:$AA$41,N$4)</f>
        <v>0</v>
      </c>
      <c r="O18" s="15">
        <f>VLOOKUP('Process DS'!$D17,'Process DB'!$C$7:$AA$41,O$4)</f>
        <v>0</v>
      </c>
      <c r="P18" s="15">
        <f>VLOOKUP('Process DS'!$D17,'Process DB'!$C$7:$AA$41,P$4)</f>
        <v>0</v>
      </c>
      <c r="Q18" s="15">
        <f>VLOOKUP('Process DS'!$D17,'Process DB'!$C$7:$AA$41,Q$4)</f>
        <v>0</v>
      </c>
      <c r="R18" s="15">
        <f>VLOOKUP('Process DS'!$D17,'Process DB'!$C$7:$AA$41,R$4)</f>
        <v>0</v>
      </c>
      <c r="S18" s="15">
        <f>VLOOKUP('Process DS'!$D17,'Process DB'!$C$7:$AA$41,S$4)</f>
        <v>0</v>
      </c>
      <c r="T18" s="15">
        <f>VLOOKUP('Process DS'!$D17,'Process DB'!$C$7:$AA$41,T$4)</f>
        <v>0</v>
      </c>
      <c r="U18" s="17">
        <f>VLOOKUP('Process DS'!$D17,'Process DB'!$C$7:$AA$41,U$4)</f>
        <v>0</v>
      </c>
      <c r="V18" s="12">
        <f>VLOOKUP('Process DS'!$D17,'Process DB'!$C$7:$AA$41,V$4)</f>
        <v>0</v>
      </c>
      <c r="W18" s="15">
        <f>VLOOKUP('Process DS'!$D17,'Process DB'!$C$7:$AA$41,W$4)</f>
        <v>0</v>
      </c>
      <c r="X18" s="15">
        <f>VLOOKUP('Process DS'!$D17,'Process DB'!$C$7:$AA$41,X$4)</f>
        <v>0</v>
      </c>
      <c r="Y18" s="15">
        <f>VLOOKUP('Process DS'!$D17,'Process DB'!$C$7:$AA$41,Y$4)</f>
        <v>0</v>
      </c>
      <c r="Z18" s="17"/>
      <c r="AB18" s="76">
        <f t="shared" si="1"/>
        <v>0</v>
      </c>
      <c r="AC18" s="77">
        <f t="shared" si="68"/>
        <v>0</v>
      </c>
      <c r="AD18" s="76" t="e">
        <f t="shared" si="69"/>
        <v>#DIV/0!</v>
      </c>
      <c r="AF18" s="78">
        <f t="shared" si="2"/>
        <v>0</v>
      </c>
      <c r="AG18" s="78">
        <f t="shared" si="2"/>
        <v>0</v>
      </c>
      <c r="AH18" s="79" t="e">
        <f t="shared" si="2"/>
        <v>#DIV/0!</v>
      </c>
      <c r="AI18" s="80">
        <f t="shared" si="70"/>
        <v>0</v>
      </c>
      <c r="AJ18" s="80">
        <f t="shared" si="70"/>
        <v>0</v>
      </c>
      <c r="AK18" s="81" t="e">
        <f t="shared" si="70"/>
        <v>#DIV/0!</v>
      </c>
      <c r="AL18" s="105">
        <f t="shared" si="71"/>
        <v>0</v>
      </c>
      <c r="AM18" s="82">
        <f t="shared" si="71"/>
        <v>0</v>
      </c>
      <c r="AN18" s="81" t="e">
        <f t="shared" si="71"/>
        <v>#DIV/0!</v>
      </c>
      <c r="AO18" s="84">
        <f t="shared" si="72"/>
        <v>0</v>
      </c>
      <c r="AP18" s="84">
        <f t="shared" si="73"/>
        <v>0</v>
      </c>
      <c r="AQ18" s="84">
        <f t="shared" si="74"/>
        <v>0</v>
      </c>
      <c r="AR18" s="84">
        <f t="shared" si="75"/>
        <v>0</v>
      </c>
      <c r="AS18" s="84" t="e">
        <f t="shared" si="76"/>
        <v>#DIV/0!</v>
      </c>
      <c r="AT18" s="85" t="e">
        <f t="shared" si="77"/>
        <v>#DIV/0!</v>
      </c>
      <c r="AU18" s="83">
        <f t="shared" si="78"/>
        <v>0</v>
      </c>
      <c r="AV18" s="83">
        <f t="shared" si="79"/>
        <v>0</v>
      </c>
      <c r="AW18" s="83">
        <f t="shared" si="3"/>
        <v>0</v>
      </c>
      <c r="AX18" s="83">
        <f t="shared" si="80"/>
        <v>0</v>
      </c>
      <c r="AY18" s="84" t="e">
        <f t="shared" si="81"/>
        <v>#DIV/0!</v>
      </c>
      <c r="AZ18" s="86" t="e">
        <f t="shared" si="82"/>
        <v>#DIV/0!</v>
      </c>
      <c r="BA18" s="87">
        <f t="shared" si="4"/>
        <v>0</v>
      </c>
      <c r="BB18" s="87">
        <f t="shared" si="4"/>
        <v>0</v>
      </c>
      <c r="BC18" s="88" t="e">
        <f t="shared" si="4"/>
        <v>#DIV/0!</v>
      </c>
      <c r="BD18" s="89">
        <f t="shared" si="5"/>
        <v>0</v>
      </c>
      <c r="BE18" s="89">
        <f t="shared" si="5"/>
        <v>0</v>
      </c>
      <c r="BF18" s="90">
        <f t="shared" si="5"/>
        <v>0</v>
      </c>
      <c r="BG18" s="91">
        <f t="shared" si="83"/>
        <v>0</v>
      </c>
      <c r="BH18" s="91">
        <f t="shared" si="84"/>
        <v>0</v>
      </c>
      <c r="BI18" s="91">
        <f t="shared" si="85"/>
        <v>0</v>
      </c>
      <c r="BJ18" s="91">
        <f t="shared" si="86"/>
        <v>0</v>
      </c>
      <c r="BK18" s="91">
        <f t="shared" si="87"/>
        <v>0</v>
      </c>
      <c r="BL18" s="91">
        <f t="shared" si="88"/>
        <v>0</v>
      </c>
      <c r="BM18" s="91">
        <f t="shared" si="89"/>
        <v>0</v>
      </c>
      <c r="BN18" s="91">
        <f t="shared" si="90"/>
        <v>0</v>
      </c>
      <c r="BO18" s="91">
        <f t="shared" si="91"/>
        <v>0</v>
      </c>
      <c r="BP18" s="91">
        <f t="shared" si="92"/>
        <v>0</v>
      </c>
      <c r="BQ18" s="91">
        <f t="shared" si="93"/>
        <v>0</v>
      </c>
      <c r="BR18" s="91">
        <f t="shared" si="94"/>
        <v>0</v>
      </c>
      <c r="BS18" s="91">
        <f t="shared" si="95"/>
        <v>0</v>
      </c>
      <c r="BT18" s="91">
        <f t="shared" si="96"/>
        <v>0</v>
      </c>
      <c r="BU18" s="91">
        <f t="shared" si="97"/>
        <v>0</v>
      </c>
      <c r="BV18" s="91">
        <f t="shared" si="98"/>
        <v>0</v>
      </c>
      <c r="BW18" s="91">
        <f t="shared" si="99"/>
        <v>0</v>
      </c>
      <c r="BX18" s="90">
        <f t="shared" si="100"/>
        <v>0</v>
      </c>
      <c r="BY18" s="91">
        <f t="shared" si="101"/>
        <v>0</v>
      </c>
      <c r="BZ18" s="91">
        <f t="shared" si="102"/>
        <v>0</v>
      </c>
      <c r="CA18" s="91">
        <f t="shared" si="103"/>
        <v>0</v>
      </c>
      <c r="CB18" s="91">
        <f t="shared" si="104"/>
        <v>0</v>
      </c>
      <c r="CC18" s="91">
        <f t="shared" si="105"/>
        <v>0</v>
      </c>
      <c r="CD18" s="91">
        <f t="shared" si="106"/>
        <v>0</v>
      </c>
      <c r="CE18" s="91">
        <f t="shared" si="107"/>
        <v>0</v>
      </c>
      <c r="CF18" s="91">
        <f t="shared" si="108"/>
        <v>0</v>
      </c>
      <c r="CG18" s="91">
        <f t="shared" si="109"/>
        <v>0</v>
      </c>
      <c r="CH18" s="91">
        <f t="shared" si="110"/>
        <v>0</v>
      </c>
      <c r="CI18" s="91">
        <f t="shared" si="111"/>
        <v>0</v>
      </c>
      <c r="CJ18" s="91">
        <f t="shared" si="112"/>
        <v>0</v>
      </c>
      <c r="CK18" s="91">
        <f t="shared" si="113"/>
        <v>0</v>
      </c>
      <c r="CL18" s="91">
        <f t="shared" si="114"/>
        <v>0</v>
      </c>
      <c r="CM18" s="91">
        <f t="shared" si="115"/>
        <v>0</v>
      </c>
      <c r="CN18" s="91">
        <f t="shared" si="116"/>
        <v>0</v>
      </c>
      <c r="CO18" s="91">
        <f t="shared" si="117"/>
        <v>0</v>
      </c>
      <c r="CP18" s="90">
        <f t="shared" si="118"/>
        <v>0</v>
      </c>
      <c r="CQ18" s="106" t="e">
        <f t="shared" si="119"/>
        <v>#DIV/0!</v>
      </c>
      <c r="CR18" s="91" t="e">
        <f t="shared" si="120"/>
        <v>#DIV/0!</v>
      </c>
      <c r="CS18" s="91" t="e">
        <f t="shared" si="121"/>
        <v>#DIV/0!</v>
      </c>
      <c r="CT18" s="91" t="e">
        <f t="shared" si="122"/>
        <v>#DIV/0!</v>
      </c>
      <c r="CU18" s="91" t="e">
        <f t="shared" si="123"/>
        <v>#DIV/0!</v>
      </c>
      <c r="CV18" s="91" t="e">
        <f t="shared" si="124"/>
        <v>#DIV/0!</v>
      </c>
      <c r="CW18" s="91" t="e">
        <f t="shared" si="125"/>
        <v>#DIV/0!</v>
      </c>
      <c r="CX18" s="91" t="e">
        <f t="shared" si="126"/>
        <v>#DIV/0!</v>
      </c>
      <c r="CY18" s="91" t="e">
        <f t="shared" si="127"/>
        <v>#DIV/0!</v>
      </c>
      <c r="CZ18" s="91" t="e">
        <f t="shared" si="128"/>
        <v>#DIV/0!</v>
      </c>
      <c r="DA18" s="91" t="e">
        <f t="shared" si="129"/>
        <v>#DIV/0!</v>
      </c>
      <c r="DB18" s="91" t="e">
        <f t="shared" si="130"/>
        <v>#DIV/0!</v>
      </c>
      <c r="DC18" s="91" t="e">
        <f t="shared" si="131"/>
        <v>#DIV/0!</v>
      </c>
      <c r="DD18" s="91" t="e">
        <f t="shared" si="132"/>
        <v>#DIV/0!</v>
      </c>
      <c r="DE18" s="91" t="e">
        <f t="shared" si="133"/>
        <v>#DIV/0!</v>
      </c>
      <c r="DF18" s="91" t="e">
        <f t="shared" si="134"/>
        <v>#DIV/0!</v>
      </c>
      <c r="DG18" s="91" t="e">
        <f t="shared" si="135"/>
        <v>#DIV/0!</v>
      </c>
      <c r="DH18" s="92" t="e">
        <f t="shared" si="136"/>
        <v>#DIV/0!</v>
      </c>
      <c r="DI18" s="93">
        <f t="shared" si="137"/>
        <v>0</v>
      </c>
      <c r="DJ18" s="94">
        <f t="shared" si="6"/>
        <v>1</v>
      </c>
      <c r="DK18" s="95">
        <f t="shared" si="7"/>
        <v>0</v>
      </c>
      <c r="DL18" s="95">
        <f t="shared" si="138"/>
        <v>0</v>
      </c>
      <c r="DM18" s="95">
        <f t="shared" si="8"/>
        <v>0</v>
      </c>
      <c r="DN18" s="95">
        <f t="shared" si="139"/>
        <v>0</v>
      </c>
      <c r="DO18" s="95">
        <f t="shared" si="9"/>
        <v>0</v>
      </c>
      <c r="DP18" s="95">
        <f t="shared" si="140"/>
        <v>0</v>
      </c>
      <c r="DQ18" s="96">
        <f t="shared" si="10"/>
        <v>0</v>
      </c>
      <c r="DR18" s="96">
        <f t="shared" si="11"/>
        <v>0</v>
      </c>
      <c r="DS18" s="97">
        <f t="shared" si="12"/>
        <v>0</v>
      </c>
      <c r="DT18" s="98">
        <f t="shared" si="13"/>
        <v>0</v>
      </c>
      <c r="DU18" s="98">
        <f t="shared" si="14"/>
        <v>0</v>
      </c>
      <c r="DV18" s="98">
        <f t="shared" si="15"/>
        <v>0</v>
      </c>
      <c r="DW18" s="98">
        <f t="shared" si="16"/>
        <v>0</v>
      </c>
      <c r="DX18" s="98">
        <f t="shared" si="17"/>
        <v>0</v>
      </c>
      <c r="DY18" s="98">
        <f t="shared" si="18"/>
        <v>0</v>
      </c>
      <c r="DZ18" s="98">
        <f t="shared" si="19"/>
        <v>0</v>
      </c>
      <c r="EA18" s="98">
        <f t="shared" si="20"/>
        <v>0</v>
      </c>
      <c r="EB18" s="98">
        <f t="shared" si="21"/>
        <v>0</v>
      </c>
      <c r="EC18" s="98">
        <f t="shared" si="22"/>
        <v>0</v>
      </c>
      <c r="ED18" s="98">
        <f t="shared" si="23"/>
        <v>0</v>
      </c>
      <c r="EE18" s="98">
        <f t="shared" si="24"/>
        <v>0</v>
      </c>
      <c r="EF18" s="98">
        <f t="shared" si="25"/>
        <v>0</v>
      </c>
      <c r="EG18" s="98">
        <f t="shared" si="26"/>
        <v>0</v>
      </c>
      <c r="EH18" s="98">
        <f t="shared" si="27"/>
        <v>0</v>
      </c>
      <c r="EI18" s="98">
        <f t="shared" si="28"/>
        <v>0</v>
      </c>
      <c r="EJ18" s="98">
        <f t="shared" si="29"/>
        <v>0</v>
      </c>
      <c r="EK18" s="99">
        <f t="shared" si="30"/>
        <v>0</v>
      </c>
      <c r="EL18" s="98">
        <f t="shared" si="31"/>
        <v>0</v>
      </c>
      <c r="EM18" s="98">
        <f t="shared" si="32"/>
        <v>0</v>
      </c>
      <c r="EN18" s="98">
        <f t="shared" si="33"/>
        <v>0</v>
      </c>
      <c r="EO18" s="98">
        <f t="shared" si="34"/>
        <v>0</v>
      </c>
      <c r="EP18" s="98">
        <f t="shared" si="35"/>
        <v>0</v>
      </c>
      <c r="EQ18" s="98">
        <f t="shared" si="36"/>
        <v>0</v>
      </c>
      <c r="ER18" s="98">
        <f t="shared" si="37"/>
        <v>0</v>
      </c>
      <c r="ES18" s="98">
        <f t="shared" si="38"/>
        <v>0</v>
      </c>
      <c r="ET18" s="98">
        <f t="shared" si="39"/>
        <v>0</v>
      </c>
      <c r="EU18" s="98">
        <f t="shared" si="40"/>
        <v>0</v>
      </c>
      <c r="EV18" s="98">
        <f t="shared" si="41"/>
        <v>0</v>
      </c>
      <c r="EW18" s="98">
        <f t="shared" si="42"/>
        <v>0</v>
      </c>
      <c r="EX18" s="98">
        <f t="shared" si="43"/>
        <v>0</v>
      </c>
      <c r="EY18" s="98">
        <f t="shared" si="44"/>
        <v>0</v>
      </c>
      <c r="EZ18" s="98">
        <f t="shared" si="45"/>
        <v>0</v>
      </c>
      <c r="FA18" s="98">
        <f t="shared" si="46"/>
        <v>0</v>
      </c>
      <c r="FB18" s="98">
        <f t="shared" si="47"/>
        <v>0</v>
      </c>
      <c r="FC18" s="98">
        <f t="shared" si="48"/>
        <v>0</v>
      </c>
      <c r="FD18" s="100" t="e">
        <f t="shared" si="49"/>
        <v>#DIV/0!</v>
      </c>
      <c r="FE18" s="98" t="e">
        <f t="shared" si="50"/>
        <v>#DIV/0!</v>
      </c>
      <c r="FF18" s="98" t="e">
        <f t="shared" si="51"/>
        <v>#DIV/0!</v>
      </c>
      <c r="FG18" s="98" t="e">
        <f t="shared" si="52"/>
        <v>#DIV/0!</v>
      </c>
      <c r="FH18" s="98" t="e">
        <f t="shared" si="53"/>
        <v>#DIV/0!</v>
      </c>
      <c r="FI18" s="98" t="e">
        <f t="shared" si="54"/>
        <v>#DIV/0!</v>
      </c>
      <c r="FJ18" s="98" t="e">
        <f t="shared" si="55"/>
        <v>#DIV/0!</v>
      </c>
      <c r="FK18" s="98" t="e">
        <f t="shared" si="56"/>
        <v>#DIV/0!</v>
      </c>
      <c r="FL18" s="98" t="e">
        <f t="shared" si="57"/>
        <v>#DIV/0!</v>
      </c>
      <c r="FM18" s="98" t="e">
        <f t="shared" si="58"/>
        <v>#DIV/0!</v>
      </c>
      <c r="FN18" s="98" t="e">
        <f t="shared" si="59"/>
        <v>#DIV/0!</v>
      </c>
      <c r="FO18" s="98" t="e">
        <f t="shared" si="60"/>
        <v>#DIV/0!</v>
      </c>
      <c r="FP18" s="98" t="e">
        <f t="shared" si="61"/>
        <v>#DIV/0!</v>
      </c>
      <c r="FQ18" s="98" t="e">
        <f t="shared" si="62"/>
        <v>#DIV/0!</v>
      </c>
      <c r="FR18" s="98" t="e">
        <f t="shared" si="63"/>
        <v>#DIV/0!</v>
      </c>
      <c r="FS18" s="98" t="e">
        <f t="shared" si="64"/>
        <v>#DIV/0!</v>
      </c>
      <c r="FT18" s="98" t="e">
        <f t="shared" si="65"/>
        <v>#DIV/0!</v>
      </c>
      <c r="FU18" s="98" t="e">
        <f t="shared" si="66"/>
        <v>#DIV/0!</v>
      </c>
      <c r="FV18" s="101">
        <f>IF(B18='Process DB'!$D$27,IF(AB18&gt;$FX$4,1,0),0)</f>
        <v>0</v>
      </c>
      <c r="FW18" s="50">
        <f>IF(B18='Process DB'!$D$27,IF(AC18&gt;$FX$4,1,0),0)</f>
        <v>0</v>
      </c>
      <c r="FX18" s="50">
        <f>IF(B18='Process DB'!$D$27,IF(AD18&gt;$FX$4,1,0),0)</f>
        <v>0</v>
      </c>
      <c r="FY18" s="41"/>
      <c r="GB18" s="101">
        <f>IF(GB$7&gt;0,IF(B18='Process DB'!$D$13,IF(AB18&gt;$GD$4,1,0),0),0)</f>
        <v>0</v>
      </c>
      <c r="GC18" s="102">
        <f>IF(GC$7&gt;0,IF(B18='Process DB'!$D$13,IF(AC18&gt;$GD$4,1,0),0),0)</f>
        <v>0</v>
      </c>
      <c r="GD18" s="102" t="e">
        <f>IF(GD$7&gt;0,IF(B18='Process DB'!$D$13,IF(AD18&gt;$GD$4,1,0),0),0)</f>
        <v>#DIV/0!</v>
      </c>
      <c r="GE18" s="103">
        <f t="shared" si="67"/>
        <v>0</v>
      </c>
      <c r="GF18" s="78">
        <f t="shared" si="67"/>
        <v>0</v>
      </c>
    </row>
    <row r="19" spans="2:189" ht="15" customHeight="1">
      <c r="B19" s="19" t="str">
        <f>VLOOKUP('Process DS'!$D18,'Process DB'!$C$7:$AA$41,B$4)</f>
        <v>-</v>
      </c>
      <c r="C19" s="17">
        <f>VLOOKUP('Process DS'!$D18,'Process DB'!$C$7:$AA$41,C$4)</f>
        <v>0</v>
      </c>
      <c r="D19" s="18">
        <f>VLOOKUP('Process DS'!$D18,'Process DB'!$C$7:$AA$41,D$4)</f>
        <v>0</v>
      </c>
      <c r="E19" s="19">
        <f>VLOOKUP('Process DS'!$D18,'Process DB'!$C$7:$AA$41,E$4)</f>
        <v>0</v>
      </c>
      <c r="F19" s="19">
        <f>VLOOKUP('Process DS'!$D18,'Process DB'!$C$7:$AA$41,F$4)</f>
        <v>0</v>
      </c>
      <c r="G19" s="20">
        <f>VLOOKUP('Process DS'!$D18,'Process DB'!$C$7:$AA$41,G$4)</f>
        <v>0</v>
      </c>
      <c r="H19" s="20">
        <f>VLOOKUP('Process DS'!$D18,'Process DB'!$C$7:$AA$41,H$4)</f>
        <v>0</v>
      </c>
      <c r="I19" s="21">
        <f>VLOOKUP('Process DS'!$D18,'Process DB'!$C$7:$AA$41,I$4)</f>
        <v>0</v>
      </c>
      <c r="J19" s="14">
        <f>VLOOKUP('Process DS'!$D18,'Process DB'!$C$7:$AA$41,J$4)</f>
        <v>0</v>
      </c>
      <c r="K19" s="14">
        <f>VLOOKUP('Process DS'!$D18,'Process DB'!$C$7:$AA$41,K$4)</f>
        <v>0</v>
      </c>
      <c r="L19" s="21">
        <f>VLOOKUP('Process DS'!$D18,'Process DB'!$C$7:$AA$41,L$4)</f>
        <v>0</v>
      </c>
      <c r="M19" s="14">
        <f>VLOOKUP('Process DS'!$D18,'Process DB'!$C$7:$AA$41,M$4)</f>
        <v>0</v>
      </c>
      <c r="N19" s="15">
        <f>VLOOKUP('Process DS'!$D18,'Process DB'!$C$7:$AA$41,N$4)</f>
        <v>0</v>
      </c>
      <c r="O19" s="15">
        <f>VLOOKUP('Process DS'!$D18,'Process DB'!$C$7:$AA$41,O$4)</f>
        <v>0</v>
      </c>
      <c r="P19" s="15">
        <f>VLOOKUP('Process DS'!$D18,'Process DB'!$C$7:$AA$41,P$4)</f>
        <v>0</v>
      </c>
      <c r="Q19" s="15">
        <f>VLOOKUP('Process DS'!$D18,'Process DB'!$C$7:$AA$41,Q$4)</f>
        <v>0</v>
      </c>
      <c r="R19" s="15">
        <f>VLOOKUP('Process DS'!$D18,'Process DB'!$C$7:$AA$41,R$4)</f>
        <v>0</v>
      </c>
      <c r="S19" s="15">
        <f>VLOOKUP('Process DS'!$D18,'Process DB'!$C$7:$AA$41,S$4)</f>
        <v>0</v>
      </c>
      <c r="T19" s="15">
        <f>VLOOKUP('Process DS'!$D18,'Process DB'!$C$7:$AA$41,T$4)</f>
        <v>0</v>
      </c>
      <c r="U19" s="17">
        <f>VLOOKUP('Process DS'!$D18,'Process DB'!$C$7:$AA$41,U$4)</f>
        <v>0</v>
      </c>
      <c r="V19" s="12">
        <f>VLOOKUP('Process DS'!$D18,'Process DB'!$C$7:$AA$41,V$4)</f>
        <v>0</v>
      </c>
      <c r="W19" s="15">
        <f>VLOOKUP('Process DS'!$D18,'Process DB'!$C$7:$AA$41,W$4)</f>
        <v>0</v>
      </c>
      <c r="X19" s="15">
        <f>VLOOKUP('Process DS'!$D18,'Process DB'!$C$7:$AA$41,X$4)</f>
        <v>0</v>
      </c>
      <c r="Y19" s="15">
        <f>VLOOKUP('Process DS'!$D18,'Process DB'!$C$7:$AA$41,Y$4)</f>
        <v>0</v>
      </c>
      <c r="Z19" s="17"/>
      <c r="AB19" s="76">
        <f t="shared" si="1"/>
        <v>0</v>
      </c>
      <c r="AC19" s="77">
        <f t="shared" si="68"/>
        <v>0</v>
      </c>
      <c r="AD19" s="76" t="e">
        <f t="shared" si="69"/>
        <v>#DIV/0!</v>
      </c>
      <c r="AF19" s="78">
        <f t="shared" si="2"/>
        <v>0</v>
      </c>
      <c r="AG19" s="78">
        <f t="shared" si="2"/>
        <v>0</v>
      </c>
      <c r="AH19" s="79" t="e">
        <f t="shared" si="2"/>
        <v>#DIV/0!</v>
      </c>
      <c r="AI19" s="80">
        <f t="shared" si="70"/>
        <v>0</v>
      </c>
      <c r="AJ19" s="80">
        <f t="shared" si="70"/>
        <v>0</v>
      </c>
      <c r="AK19" s="81" t="e">
        <f t="shared" si="70"/>
        <v>#DIV/0!</v>
      </c>
      <c r="AL19" s="105">
        <f t="shared" si="71"/>
        <v>0</v>
      </c>
      <c r="AM19" s="82">
        <f t="shared" si="71"/>
        <v>0</v>
      </c>
      <c r="AN19" s="81" t="e">
        <f t="shared" si="71"/>
        <v>#DIV/0!</v>
      </c>
      <c r="AO19" s="84">
        <f t="shared" si="72"/>
        <v>0</v>
      </c>
      <c r="AP19" s="84">
        <f t="shared" si="73"/>
        <v>0</v>
      </c>
      <c r="AQ19" s="84">
        <f t="shared" si="74"/>
        <v>0</v>
      </c>
      <c r="AR19" s="84">
        <f t="shared" si="75"/>
        <v>0</v>
      </c>
      <c r="AS19" s="84" t="e">
        <f t="shared" si="76"/>
        <v>#DIV/0!</v>
      </c>
      <c r="AT19" s="85" t="e">
        <f t="shared" si="77"/>
        <v>#DIV/0!</v>
      </c>
      <c r="AU19" s="83">
        <f t="shared" si="78"/>
        <v>0</v>
      </c>
      <c r="AV19" s="83">
        <f t="shared" si="79"/>
        <v>0</v>
      </c>
      <c r="AW19" s="83">
        <f t="shared" si="3"/>
        <v>0</v>
      </c>
      <c r="AX19" s="83">
        <f t="shared" si="80"/>
        <v>0</v>
      </c>
      <c r="AY19" s="84" t="e">
        <f t="shared" si="81"/>
        <v>#DIV/0!</v>
      </c>
      <c r="AZ19" s="86" t="e">
        <f t="shared" si="82"/>
        <v>#DIV/0!</v>
      </c>
      <c r="BA19" s="87">
        <f t="shared" si="4"/>
        <v>0</v>
      </c>
      <c r="BB19" s="87">
        <f t="shared" si="4"/>
        <v>0</v>
      </c>
      <c r="BC19" s="88" t="e">
        <f t="shared" si="4"/>
        <v>#DIV/0!</v>
      </c>
      <c r="BD19" s="89">
        <f t="shared" si="5"/>
        <v>0</v>
      </c>
      <c r="BE19" s="89">
        <f t="shared" si="5"/>
        <v>0</v>
      </c>
      <c r="BF19" s="90">
        <f t="shared" si="5"/>
        <v>0</v>
      </c>
      <c r="BG19" s="91">
        <f t="shared" si="83"/>
        <v>0</v>
      </c>
      <c r="BH19" s="91">
        <f t="shared" si="84"/>
        <v>0</v>
      </c>
      <c r="BI19" s="91">
        <f t="shared" si="85"/>
        <v>0</v>
      </c>
      <c r="BJ19" s="91">
        <f t="shared" si="86"/>
        <v>0</v>
      </c>
      <c r="BK19" s="91">
        <f t="shared" si="87"/>
        <v>0</v>
      </c>
      <c r="BL19" s="91">
        <f t="shared" si="88"/>
        <v>0</v>
      </c>
      <c r="BM19" s="91">
        <f t="shared" si="89"/>
        <v>0</v>
      </c>
      <c r="BN19" s="91">
        <f t="shared" si="90"/>
        <v>0</v>
      </c>
      <c r="BO19" s="91">
        <f t="shared" si="91"/>
        <v>0</v>
      </c>
      <c r="BP19" s="91">
        <f t="shared" si="92"/>
        <v>0</v>
      </c>
      <c r="BQ19" s="91">
        <f t="shared" si="93"/>
        <v>0</v>
      </c>
      <c r="BR19" s="91">
        <f t="shared" si="94"/>
        <v>0</v>
      </c>
      <c r="BS19" s="91">
        <f t="shared" si="95"/>
        <v>0</v>
      </c>
      <c r="BT19" s="91">
        <f t="shared" si="96"/>
        <v>0</v>
      </c>
      <c r="BU19" s="91">
        <f t="shared" si="97"/>
        <v>0</v>
      </c>
      <c r="BV19" s="91">
        <f t="shared" si="98"/>
        <v>0</v>
      </c>
      <c r="BW19" s="91">
        <f t="shared" si="99"/>
        <v>0</v>
      </c>
      <c r="BX19" s="90">
        <f t="shared" si="100"/>
        <v>0</v>
      </c>
      <c r="BY19" s="91">
        <f t="shared" si="101"/>
        <v>0</v>
      </c>
      <c r="BZ19" s="91">
        <f t="shared" si="102"/>
        <v>0</v>
      </c>
      <c r="CA19" s="91">
        <f t="shared" si="103"/>
        <v>0</v>
      </c>
      <c r="CB19" s="91">
        <f t="shared" si="104"/>
        <v>0</v>
      </c>
      <c r="CC19" s="91">
        <f t="shared" si="105"/>
        <v>0</v>
      </c>
      <c r="CD19" s="91">
        <f t="shared" si="106"/>
        <v>0</v>
      </c>
      <c r="CE19" s="91">
        <f t="shared" si="107"/>
        <v>0</v>
      </c>
      <c r="CF19" s="91">
        <f t="shared" si="108"/>
        <v>0</v>
      </c>
      <c r="CG19" s="91">
        <f t="shared" si="109"/>
        <v>0</v>
      </c>
      <c r="CH19" s="91">
        <f t="shared" si="110"/>
        <v>0</v>
      </c>
      <c r="CI19" s="91">
        <f t="shared" si="111"/>
        <v>0</v>
      </c>
      <c r="CJ19" s="91">
        <f t="shared" si="112"/>
        <v>0</v>
      </c>
      <c r="CK19" s="91">
        <f t="shared" si="113"/>
        <v>0</v>
      </c>
      <c r="CL19" s="91">
        <f t="shared" si="114"/>
        <v>0</v>
      </c>
      <c r="CM19" s="91">
        <f t="shared" si="115"/>
        <v>0</v>
      </c>
      <c r="CN19" s="91">
        <f t="shared" si="116"/>
        <v>0</v>
      </c>
      <c r="CO19" s="91">
        <f t="shared" si="117"/>
        <v>0</v>
      </c>
      <c r="CP19" s="90">
        <f t="shared" si="118"/>
        <v>0</v>
      </c>
      <c r="CQ19" s="106" t="e">
        <f t="shared" si="119"/>
        <v>#DIV/0!</v>
      </c>
      <c r="CR19" s="91" t="e">
        <f t="shared" si="120"/>
        <v>#DIV/0!</v>
      </c>
      <c r="CS19" s="91" t="e">
        <f t="shared" si="121"/>
        <v>#DIV/0!</v>
      </c>
      <c r="CT19" s="91" t="e">
        <f t="shared" si="122"/>
        <v>#DIV/0!</v>
      </c>
      <c r="CU19" s="91" t="e">
        <f t="shared" si="123"/>
        <v>#DIV/0!</v>
      </c>
      <c r="CV19" s="91" t="e">
        <f t="shared" si="124"/>
        <v>#DIV/0!</v>
      </c>
      <c r="CW19" s="91" t="e">
        <f t="shared" si="125"/>
        <v>#DIV/0!</v>
      </c>
      <c r="CX19" s="91" t="e">
        <f t="shared" si="126"/>
        <v>#DIV/0!</v>
      </c>
      <c r="CY19" s="91" t="e">
        <f t="shared" si="127"/>
        <v>#DIV/0!</v>
      </c>
      <c r="CZ19" s="91" t="e">
        <f t="shared" si="128"/>
        <v>#DIV/0!</v>
      </c>
      <c r="DA19" s="91" t="e">
        <f t="shared" si="129"/>
        <v>#DIV/0!</v>
      </c>
      <c r="DB19" s="91" t="e">
        <f t="shared" si="130"/>
        <v>#DIV/0!</v>
      </c>
      <c r="DC19" s="91" t="e">
        <f t="shared" si="131"/>
        <v>#DIV/0!</v>
      </c>
      <c r="DD19" s="91" t="e">
        <f t="shared" si="132"/>
        <v>#DIV/0!</v>
      </c>
      <c r="DE19" s="91" t="e">
        <f t="shared" si="133"/>
        <v>#DIV/0!</v>
      </c>
      <c r="DF19" s="91" t="e">
        <f t="shared" si="134"/>
        <v>#DIV/0!</v>
      </c>
      <c r="DG19" s="91" t="e">
        <f t="shared" si="135"/>
        <v>#DIV/0!</v>
      </c>
      <c r="DH19" s="92" t="e">
        <f t="shared" si="136"/>
        <v>#DIV/0!</v>
      </c>
      <c r="DI19" s="93">
        <f t="shared" si="137"/>
        <v>0</v>
      </c>
      <c r="DJ19" s="94">
        <f t="shared" si="6"/>
        <v>1</v>
      </c>
      <c r="DK19" s="95">
        <f t="shared" si="7"/>
        <v>0</v>
      </c>
      <c r="DL19" s="95">
        <f t="shared" si="138"/>
        <v>0</v>
      </c>
      <c r="DM19" s="95">
        <f t="shared" si="8"/>
        <v>0</v>
      </c>
      <c r="DN19" s="95">
        <f t="shared" si="139"/>
        <v>0</v>
      </c>
      <c r="DO19" s="95">
        <f t="shared" si="9"/>
        <v>0</v>
      </c>
      <c r="DP19" s="95">
        <f t="shared" si="140"/>
        <v>0</v>
      </c>
      <c r="DQ19" s="96">
        <f t="shared" si="10"/>
        <v>0</v>
      </c>
      <c r="DR19" s="96">
        <f t="shared" si="11"/>
        <v>0</v>
      </c>
      <c r="DS19" s="97">
        <f t="shared" si="12"/>
        <v>0</v>
      </c>
      <c r="DT19" s="98">
        <f t="shared" si="13"/>
        <v>0</v>
      </c>
      <c r="DU19" s="98">
        <f t="shared" si="14"/>
        <v>0</v>
      </c>
      <c r="DV19" s="98">
        <f t="shared" si="15"/>
        <v>0</v>
      </c>
      <c r="DW19" s="98">
        <f t="shared" si="16"/>
        <v>0</v>
      </c>
      <c r="DX19" s="98">
        <f t="shared" si="17"/>
        <v>0</v>
      </c>
      <c r="DY19" s="98">
        <f t="shared" si="18"/>
        <v>0</v>
      </c>
      <c r="DZ19" s="98">
        <f t="shared" si="19"/>
        <v>0</v>
      </c>
      <c r="EA19" s="98">
        <f t="shared" si="20"/>
        <v>0</v>
      </c>
      <c r="EB19" s="98">
        <f t="shared" si="21"/>
        <v>0</v>
      </c>
      <c r="EC19" s="98">
        <f t="shared" si="22"/>
        <v>0</v>
      </c>
      <c r="ED19" s="98">
        <f t="shared" si="23"/>
        <v>0</v>
      </c>
      <c r="EE19" s="98">
        <f t="shared" si="24"/>
        <v>0</v>
      </c>
      <c r="EF19" s="98">
        <f t="shared" si="25"/>
        <v>0</v>
      </c>
      <c r="EG19" s="98">
        <f t="shared" si="26"/>
        <v>0</v>
      </c>
      <c r="EH19" s="98">
        <f t="shared" si="27"/>
        <v>0</v>
      </c>
      <c r="EI19" s="98">
        <f t="shared" si="28"/>
        <v>0</v>
      </c>
      <c r="EJ19" s="98">
        <f t="shared" si="29"/>
        <v>0</v>
      </c>
      <c r="EK19" s="99">
        <f t="shared" si="30"/>
        <v>0</v>
      </c>
      <c r="EL19" s="98">
        <f t="shared" si="31"/>
        <v>0</v>
      </c>
      <c r="EM19" s="98">
        <f t="shared" si="32"/>
        <v>0</v>
      </c>
      <c r="EN19" s="98">
        <f t="shared" si="33"/>
        <v>0</v>
      </c>
      <c r="EO19" s="98">
        <f t="shared" si="34"/>
        <v>0</v>
      </c>
      <c r="EP19" s="98">
        <f t="shared" si="35"/>
        <v>0</v>
      </c>
      <c r="EQ19" s="98">
        <f t="shared" si="36"/>
        <v>0</v>
      </c>
      <c r="ER19" s="98">
        <f t="shared" si="37"/>
        <v>0</v>
      </c>
      <c r="ES19" s="98">
        <f t="shared" si="38"/>
        <v>0</v>
      </c>
      <c r="ET19" s="98">
        <f t="shared" si="39"/>
        <v>0</v>
      </c>
      <c r="EU19" s="98">
        <f t="shared" si="40"/>
        <v>0</v>
      </c>
      <c r="EV19" s="98">
        <f t="shared" si="41"/>
        <v>0</v>
      </c>
      <c r="EW19" s="98">
        <f t="shared" si="42"/>
        <v>0</v>
      </c>
      <c r="EX19" s="98">
        <f t="shared" si="43"/>
        <v>0</v>
      </c>
      <c r="EY19" s="98">
        <f t="shared" si="44"/>
        <v>0</v>
      </c>
      <c r="EZ19" s="98">
        <f t="shared" si="45"/>
        <v>0</v>
      </c>
      <c r="FA19" s="98">
        <f t="shared" si="46"/>
        <v>0</v>
      </c>
      <c r="FB19" s="98">
        <f t="shared" si="47"/>
        <v>0</v>
      </c>
      <c r="FC19" s="98">
        <f t="shared" si="48"/>
        <v>0</v>
      </c>
      <c r="FD19" s="100" t="e">
        <f t="shared" si="49"/>
        <v>#DIV/0!</v>
      </c>
      <c r="FE19" s="98" t="e">
        <f t="shared" si="50"/>
        <v>#DIV/0!</v>
      </c>
      <c r="FF19" s="98" t="e">
        <f t="shared" si="51"/>
        <v>#DIV/0!</v>
      </c>
      <c r="FG19" s="98" t="e">
        <f t="shared" si="52"/>
        <v>#DIV/0!</v>
      </c>
      <c r="FH19" s="98" t="e">
        <f t="shared" si="53"/>
        <v>#DIV/0!</v>
      </c>
      <c r="FI19" s="98" t="e">
        <f t="shared" si="54"/>
        <v>#DIV/0!</v>
      </c>
      <c r="FJ19" s="98" t="e">
        <f t="shared" si="55"/>
        <v>#DIV/0!</v>
      </c>
      <c r="FK19" s="98" t="e">
        <f t="shared" si="56"/>
        <v>#DIV/0!</v>
      </c>
      <c r="FL19" s="98" t="e">
        <f t="shared" si="57"/>
        <v>#DIV/0!</v>
      </c>
      <c r="FM19" s="98" t="e">
        <f t="shared" si="58"/>
        <v>#DIV/0!</v>
      </c>
      <c r="FN19" s="98" t="e">
        <f t="shared" si="59"/>
        <v>#DIV/0!</v>
      </c>
      <c r="FO19" s="98" t="e">
        <f t="shared" si="60"/>
        <v>#DIV/0!</v>
      </c>
      <c r="FP19" s="98" t="e">
        <f t="shared" si="61"/>
        <v>#DIV/0!</v>
      </c>
      <c r="FQ19" s="98" t="e">
        <f t="shared" si="62"/>
        <v>#DIV/0!</v>
      </c>
      <c r="FR19" s="98" t="e">
        <f t="shared" si="63"/>
        <v>#DIV/0!</v>
      </c>
      <c r="FS19" s="98" t="e">
        <f t="shared" si="64"/>
        <v>#DIV/0!</v>
      </c>
      <c r="FT19" s="98" t="e">
        <f t="shared" si="65"/>
        <v>#DIV/0!</v>
      </c>
      <c r="FU19" s="98" t="e">
        <f t="shared" si="66"/>
        <v>#DIV/0!</v>
      </c>
      <c r="FV19" s="101">
        <f>IF(B19='Process DB'!$D$27,IF(AB19&gt;$FX$4,1,0),0)</f>
        <v>0</v>
      </c>
      <c r="FW19" s="50">
        <f>IF(B19='Process DB'!$D$27,IF(AC19&gt;$FX$4,1,0),0)</f>
        <v>0</v>
      </c>
      <c r="FX19" s="50">
        <f>IF(B19='Process DB'!$D$27,IF(AD19&gt;$FX$4,1,0),0)</f>
        <v>0</v>
      </c>
      <c r="FY19" s="41"/>
      <c r="GB19" s="101">
        <f>IF(GB$7&gt;0,IF(B19='Process DB'!$D$13,IF(AB19&gt;$GD$4,1,0),0),0)</f>
        <v>0</v>
      </c>
      <c r="GC19" s="102">
        <f>IF(GC$7&gt;0,IF(B19='Process DB'!$D$13,IF(AC19&gt;$GD$4,1,0),0),0)</f>
        <v>0</v>
      </c>
      <c r="GD19" s="102" t="e">
        <f>IF(GD$7&gt;0,IF(B19='Process DB'!$D$13,IF(AD19&gt;$GD$4,1,0),0),0)</f>
        <v>#DIV/0!</v>
      </c>
      <c r="GE19" s="103">
        <f t="shared" si="67"/>
        <v>0</v>
      </c>
      <c r="GF19" s="78">
        <f t="shared" si="67"/>
        <v>0</v>
      </c>
    </row>
    <row r="20" spans="2:189" ht="15" customHeight="1">
      <c r="B20" s="19" t="str">
        <f>VLOOKUP('Process DS'!$D19,'Process DB'!$C$7:$AA$41,B$4)</f>
        <v>-</v>
      </c>
      <c r="C20" s="17">
        <f>VLOOKUP('Process DS'!$D19,'Process DB'!$C$7:$AA$41,C$4)</f>
        <v>0</v>
      </c>
      <c r="D20" s="18">
        <f>VLOOKUP('Process DS'!$D19,'Process DB'!$C$7:$AA$41,D$4)</f>
        <v>0</v>
      </c>
      <c r="E20" s="19">
        <f>VLOOKUP('Process DS'!$D19,'Process DB'!$C$7:$AA$41,E$4)</f>
        <v>0</v>
      </c>
      <c r="F20" s="19">
        <f>VLOOKUP('Process DS'!$D19,'Process DB'!$C$7:$AA$41,F$4)</f>
        <v>0</v>
      </c>
      <c r="G20" s="20">
        <f>VLOOKUP('Process DS'!$D19,'Process DB'!$C$7:$AA$41,G$4)</f>
        <v>0</v>
      </c>
      <c r="H20" s="20">
        <f>VLOOKUP('Process DS'!$D19,'Process DB'!$C$7:$AA$41,H$4)</f>
        <v>0</v>
      </c>
      <c r="I20" s="21">
        <f>VLOOKUP('Process DS'!$D19,'Process DB'!$C$7:$AA$41,I$4)</f>
        <v>0</v>
      </c>
      <c r="J20" s="14">
        <f>VLOOKUP('Process DS'!$D19,'Process DB'!$C$7:$AA$41,J$4)</f>
        <v>0</v>
      </c>
      <c r="K20" s="14">
        <f>VLOOKUP('Process DS'!$D19,'Process DB'!$C$7:$AA$41,K$4)</f>
        <v>0</v>
      </c>
      <c r="L20" s="21">
        <f>VLOOKUP('Process DS'!$D19,'Process DB'!$C$7:$AA$41,L$4)</f>
        <v>0</v>
      </c>
      <c r="M20" s="14">
        <f>VLOOKUP('Process DS'!$D19,'Process DB'!$C$7:$AA$41,M$4)</f>
        <v>0</v>
      </c>
      <c r="N20" s="15">
        <f>VLOOKUP('Process DS'!$D19,'Process DB'!$C$7:$AA$41,N$4)</f>
        <v>0</v>
      </c>
      <c r="O20" s="15">
        <f>VLOOKUP('Process DS'!$D19,'Process DB'!$C$7:$AA$41,O$4)</f>
        <v>0</v>
      </c>
      <c r="P20" s="15">
        <f>VLOOKUP('Process DS'!$D19,'Process DB'!$C$7:$AA$41,P$4)</f>
        <v>0</v>
      </c>
      <c r="Q20" s="15">
        <f>VLOOKUP('Process DS'!$D19,'Process DB'!$C$7:$AA$41,Q$4)</f>
        <v>0</v>
      </c>
      <c r="R20" s="15">
        <f>VLOOKUP('Process DS'!$D19,'Process DB'!$C$7:$AA$41,R$4)</f>
        <v>0</v>
      </c>
      <c r="S20" s="15">
        <f>VLOOKUP('Process DS'!$D19,'Process DB'!$C$7:$AA$41,S$4)</f>
        <v>0</v>
      </c>
      <c r="T20" s="15">
        <f>VLOOKUP('Process DS'!$D19,'Process DB'!$C$7:$AA$41,T$4)</f>
        <v>0</v>
      </c>
      <c r="U20" s="17">
        <f>VLOOKUP('Process DS'!$D19,'Process DB'!$C$7:$AA$41,U$4)</f>
        <v>0</v>
      </c>
      <c r="V20" s="12">
        <f>VLOOKUP('Process DS'!$D19,'Process DB'!$C$7:$AA$41,V$4)</f>
        <v>0</v>
      </c>
      <c r="W20" s="15">
        <f>VLOOKUP('Process DS'!$D19,'Process DB'!$C$7:$AA$41,W$4)</f>
        <v>0</v>
      </c>
      <c r="X20" s="15">
        <f>VLOOKUP('Process DS'!$D19,'Process DB'!$C$7:$AA$41,X$4)</f>
        <v>0</v>
      </c>
      <c r="Y20" s="15">
        <f>VLOOKUP('Process DS'!$D19,'Process DB'!$C$7:$AA$41,Y$4)</f>
        <v>0</v>
      </c>
      <c r="Z20" s="17"/>
      <c r="AB20" s="76">
        <f t="shared" si="1"/>
        <v>0</v>
      </c>
      <c r="AC20" s="77">
        <f t="shared" si="68"/>
        <v>0</v>
      </c>
      <c r="AD20" s="76" t="e">
        <f t="shared" si="69"/>
        <v>#DIV/0!</v>
      </c>
      <c r="AF20" s="78">
        <f t="shared" si="2"/>
        <v>0</v>
      </c>
      <c r="AG20" s="78">
        <f t="shared" si="2"/>
        <v>0</v>
      </c>
      <c r="AH20" s="79" t="e">
        <f t="shared" si="2"/>
        <v>#DIV/0!</v>
      </c>
      <c r="AI20" s="80">
        <f t="shared" si="70"/>
        <v>0</v>
      </c>
      <c r="AJ20" s="80">
        <f t="shared" si="70"/>
        <v>0</v>
      </c>
      <c r="AK20" s="81" t="e">
        <f t="shared" si="70"/>
        <v>#DIV/0!</v>
      </c>
      <c r="AL20" s="105">
        <f t="shared" si="71"/>
        <v>0</v>
      </c>
      <c r="AM20" s="82">
        <f t="shared" si="71"/>
        <v>0</v>
      </c>
      <c r="AN20" s="81" t="e">
        <f t="shared" si="71"/>
        <v>#DIV/0!</v>
      </c>
      <c r="AO20" s="84">
        <f t="shared" si="72"/>
        <v>0</v>
      </c>
      <c r="AP20" s="84">
        <f t="shared" si="73"/>
        <v>0</v>
      </c>
      <c r="AQ20" s="84">
        <f t="shared" si="74"/>
        <v>0</v>
      </c>
      <c r="AR20" s="84">
        <f t="shared" si="75"/>
        <v>0</v>
      </c>
      <c r="AS20" s="84" t="e">
        <f t="shared" si="76"/>
        <v>#DIV/0!</v>
      </c>
      <c r="AT20" s="85" t="e">
        <f t="shared" si="77"/>
        <v>#DIV/0!</v>
      </c>
      <c r="AU20" s="83">
        <f t="shared" si="78"/>
        <v>0</v>
      </c>
      <c r="AV20" s="83">
        <f t="shared" si="79"/>
        <v>0</v>
      </c>
      <c r="AW20" s="83">
        <f t="shared" si="3"/>
        <v>0</v>
      </c>
      <c r="AX20" s="83">
        <f t="shared" si="80"/>
        <v>0</v>
      </c>
      <c r="AY20" s="84" t="e">
        <f t="shared" si="81"/>
        <v>#DIV/0!</v>
      </c>
      <c r="AZ20" s="86" t="e">
        <f t="shared" si="82"/>
        <v>#DIV/0!</v>
      </c>
      <c r="BA20" s="87">
        <f t="shared" si="4"/>
        <v>0</v>
      </c>
      <c r="BB20" s="87">
        <f t="shared" si="4"/>
        <v>0</v>
      </c>
      <c r="BC20" s="88" t="e">
        <f t="shared" si="4"/>
        <v>#DIV/0!</v>
      </c>
      <c r="BD20" s="89">
        <f t="shared" si="5"/>
        <v>0</v>
      </c>
      <c r="BE20" s="89">
        <f t="shared" si="5"/>
        <v>0</v>
      </c>
      <c r="BF20" s="90">
        <f t="shared" si="5"/>
        <v>0</v>
      </c>
      <c r="BG20" s="91">
        <f t="shared" si="83"/>
        <v>0</v>
      </c>
      <c r="BH20" s="91">
        <f t="shared" si="84"/>
        <v>0</v>
      </c>
      <c r="BI20" s="91">
        <f t="shared" si="85"/>
        <v>0</v>
      </c>
      <c r="BJ20" s="91">
        <f t="shared" si="86"/>
        <v>0</v>
      </c>
      <c r="BK20" s="91">
        <f t="shared" si="87"/>
        <v>0</v>
      </c>
      <c r="BL20" s="91">
        <f t="shared" si="88"/>
        <v>0</v>
      </c>
      <c r="BM20" s="91">
        <f t="shared" si="89"/>
        <v>0</v>
      </c>
      <c r="BN20" s="91">
        <f t="shared" si="90"/>
        <v>0</v>
      </c>
      <c r="BO20" s="91">
        <f t="shared" si="91"/>
        <v>0</v>
      </c>
      <c r="BP20" s="91">
        <f t="shared" si="92"/>
        <v>0</v>
      </c>
      <c r="BQ20" s="91">
        <f t="shared" si="93"/>
        <v>0</v>
      </c>
      <c r="BR20" s="91">
        <f t="shared" si="94"/>
        <v>0</v>
      </c>
      <c r="BS20" s="91">
        <f t="shared" si="95"/>
        <v>0</v>
      </c>
      <c r="BT20" s="91">
        <f t="shared" si="96"/>
        <v>0</v>
      </c>
      <c r="BU20" s="91">
        <f t="shared" si="97"/>
        <v>0</v>
      </c>
      <c r="BV20" s="91">
        <f t="shared" si="98"/>
        <v>0</v>
      </c>
      <c r="BW20" s="91">
        <f t="shared" si="99"/>
        <v>0</v>
      </c>
      <c r="BX20" s="90">
        <f t="shared" si="100"/>
        <v>0</v>
      </c>
      <c r="BY20" s="91">
        <f t="shared" si="101"/>
        <v>0</v>
      </c>
      <c r="BZ20" s="91">
        <f t="shared" si="102"/>
        <v>0</v>
      </c>
      <c r="CA20" s="91">
        <f t="shared" si="103"/>
        <v>0</v>
      </c>
      <c r="CB20" s="91">
        <f t="shared" si="104"/>
        <v>0</v>
      </c>
      <c r="CC20" s="91">
        <f t="shared" si="105"/>
        <v>0</v>
      </c>
      <c r="CD20" s="91">
        <f t="shared" si="106"/>
        <v>0</v>
      </c>
      <c r="CE20" s="91">
        <f t="shared" si="107"/>
        <v>0</v>
      </c>
      <c r="CF20" s="91">
        <f t="shared" si="108"/>
        <v>0</v>
      </c>
      <c r="CG20" s="91">
        <f t="shared" si="109"/>
        <v>0</v>
      </c>
      <c r="CH20" s="91">
        <f t="shared" si="110"/>
        <v>0</v>
      </c>
      <c r="CI20" s="91">
        <f t="shared" si="111"/>
        <v>0</v>
      </c>
      <c r="CJ20" s="91">
        <f t="shared" si="112"/>
        <v>0</v>
      </c>
      <c r="CK20" s="91">
        <f t="shared" si="113"/>
        <v>0</v>
      </c>
      <c r="CL20" s="91">
        <f t="shared" si="114"/>
        <v>0</v>
      </c>
      <c r="CM20" s="91">
        <f t="shared" si="115"/>
        <v>0</v>
      </c>
      <c r="CN20" s="91">
        <f t="shared" si="116"/>
        <v>0</v>
      </c>
      <c r="CO20" s="91">
        <f t="shared" si="117"/>
        <v>0</v>
      </c>
      <c r="CP20" s="90">
        <f t="shared" si="118"/>
        <v>0</v>
      </c>
      <c r="CQ20" s="106" t="e">
        <f t="shared" si="119"/>
        <v>#DIV/0!</v>
      </c>
      <c r="CR20" s="91" t="e">
        <f t="shared" si="120"/>
        <v>#DIV/0!</v>
      </c>
      <c r="CS20" s="91" t="e">
        <f t="shared" si="121"/>
        <v>#DIV/0!</v>
      </c>
      <c r="CT20" s="91" t="e">
        <f t="shared" si="122"/>
        <v>#DIV/0!</v>
      </c>
      <c r="CU20" s="91" t="e">
        <f t="shared" si="123"/>
        <v>#DIV/0!</v>
      </c>
      <c r="CV20" s="91" t="e">
        <f t="shared" si="124"/>
        <v>#DIV/0!</v>
      </c>
      <c r="CW20" s="91" t="e">
        <f t="shared" si="125"/>
        <v>#DIV/0!</v>
      </c>
      <c r="CX20" s="91" t="e">
        <f t="shared" si="126"/>
        <v>#DIV/0!</v>
      </c>
      <c r="CY20" s="91" t="e">
        <f t="shared" si="127"/>
        <v>#DIV/0!</v>
      </c>
      <c r="CZ20" s="91" t="e">
        <f t="shared" si="128"/>
        <v>#DIV/0!</v>
      </c>
      <c r="DA20" s="91" t="e">
        <f t="shared" si="129"/>
        <v>#DIV/0!</v>
      </c>
      <c r="DB20" s="91" t="e">
        <f t="shared" si="130"/>
        <v>#DIV/0!</v>
      </c>
      <c r="DC20" s="91" t="e">
        <f t="shared" si="131"/>
        <v>#DIV/0!</v>
      </c>
      <c r="DD20" s="91" t="e">
        <f t="shared" si="132"/>
        <v>#DIV/0!</v>
      </c>
      <c r="DE20" s="91" t="e">
        <f t="shared" si="133"/>
        <v>#DIV/0!</v>
      </c>
      <c r="DF20" s="91" t="e">
        <f t="shared" si="134"/>
        <v>#DIV/0!</v>
      </c>
      <c r="DG20" s="91" t="e">
        <f t="shared" si="135"/>
        <v>#DIV/0!</v>
      </c>
      <c r="DH20" s="92" t="e">
        <f t="shared" si="136"/>
        <v>#DIV/0!</v>
      </c>
      <c r="DI20" s="93">
        <f t="shared" si="137"/>
        <v>0</v>
      </c>
      <c r="DJ20" s="94">
        <f t="shared" si="6"/>
        <v>1</v>
      </c>
      <c r="DK20" s="95">
        <f t="shared" si="7"/>
        <v>0</v>
      </c>
      <c r="DL20" s="95">
        <f t="shared" si="138"/>
        <v>0</v>
      </c>
      <c r="DM20" s="95">
        <f t="shared" si="8"/>
        <v>0</v>
      </c>
      <c r="DN20" s="95">
        <f t="shared" si="139"/>
        <v>0</v>
      </c>
      <c r="DO20" s="95">
        <f t="shared" si="9"/>
        <v>0</v>
      </c>
      <c r="DP20" s="95">
        <f t="shared" si="140"/>
        <v>0</v>
      </c>
      <c r="DQ20" s="96">
        <f t="shared" si="10"/>
        <v>0</v>
      </c>
      <c r="DR20" s="96">
        <f t="shared" si="11"/>
        <v>0</v>
      </c>
      <c r="DS20" s="97">
        <f t="shared" si="12"/>
        <v>0</v>
      </c>
      <c r="DT20" s="98">
        <f t="shared" si="13"/>
        <v>0</v>
      </c>
      <c r="DU20" s="98">
        <f t="shared" si="14"/>
        <v>0</v>
      </c>
      <c r="DV20" s="98">
        <f t="shared" si="15"/>
        <v>0</v>
      </c>
      <c r="DW20" s="98">
        <f t="shared" si="16"/>
        <v>0</v>
      </c>
      <c r="DX20" s="98">
        <f t="shared" si="17"/>
        <v>0</v>
      </c>
      <c r="DY20" s="98">
        <f t="shared" si="18"/>
        <v>0</v>
      </c>
      <c r="DZ20" s="98">
        <f t="shared" si="19"/>
        <v>0</v>
      </c>
      <c r="EA20" s="98">
        <f t="shared" si="20"/>
        <v>0</v>
      </c>
      <c r="EB20" s="98">
        <f t="shared" si="21"/>
        <v>0</v>
      </c>
      <c r="EC20" s="98">
        <f t="shared" si="22"/>
        <v>0</v>
      </c>
      <c r="ED20" s="98">
        <f t="shared" si="23"/>
        <v>0</v>
      </c>
      <c r="EE20" s="98">
        <f t="shared" si="24"/>
        <v>0</v>
      </c>
      <c r="EF20" s="98">
        <f t="shared" si="25"/>
        <v>0</v>
      </c>
      <c r="EG20" s="98">
        <f t="shared" si="26"/>
        <v>0</v>
      </c>
      <c r="EH20" s="98">
        <f t="shared" si="27"/>
        <v>0</v>
      </c>
      <c r="EI20" s="98">
        <f t="shared" si="28"/>
        <v>0</v>
      </c>
      <c r="EJ20" s="98">
        <f t="shared" si="29"/>
        <v>0</v>
      </c>
      <c r="EK20" s="99">
        <f t="shared" si="30"/>
        <v>0</v>
      </c>
      <c r="EL20" s="98">
        <f t="shared" si="31"/>
        <v>0</v>
      </c>
      <c r="EM20" s="98">
        <f t="shared" si="32"/>
        <v>0</v>
      </c>
      <c r="EN20" s="98">
        <f t="shared" si="33"/>
        <v>0</v>
      </c>
      <c r="EO20" s="98">
        <f t="shared" si="34"/>
        <v>0</v>
      </c>
      <c r="EP20" s="98">
        <f t="shared" si="35"/>
        <v>0</v>
      </c>
      <c r="EQ20" s="98">
        <f t="shared" si="36"/>
        <v>0</v>
      </c>
      <c r="ER20" s="98">
        <f t="shared" si="37"/>
        <v>0</v>
      </c>
      <c r="ES20" s="98">
        <f t="shared" si="38"/>
        <v>0</v>
      </c>
      <c r="ET20" s="98">
        <f t="shared" si="39"/>
        <v>0</v>
      </c>
      <c r="EU20" s="98">
        <f t="shared" si="40"/>
        <v>0</v>
      </c>
      <c r="EV20" s="98">
        <f t="shared" si="41"/>
        <v>0</v>
      </c>
      <c r="EW20" s="98">
        <f t="shared" si="42"/>
        <v>0</v>
      </c>
      <c r="EX20" s="98">
        <f t="shared" si="43"/>
        <v>0</v>
      </c>
      <c r="EY20" s="98">
        <f t="shared" si="44"/>
        <v>0</v>
      </c>
      <c r="EZ20" s="98">
        <f t="shared" si="45"/>
        <v>0</v>
      </c>
      <c r="FA20" s="98">
        <f t="shared" si="46"/>
        <v>0</v>
      </c>
      <c r="FB20" s="98">
        <f t="shared" si="47"/>
        <v>0</v>
      </c>
      <c r="FC20" s="98">
        <f t="shared" si="48"/>
        <v>0</v>
      </c>
      <c r="FD20" s="100" t="e">
        <f t="shared" si="49"/>
        <v>#DIV/0!</v>
      </c>
      <c r="FE20" s="98" t="e">
        <f t="shared" si="50"/>
        <v>#DIV/0!</v>
      </c>
      <c r="FF20" s="98" t="e">
        <f t="shared" si="51"/>
        <v>#DIV/0!</v>
      </c>
      <c r="FG20" s="98" t="e">
        <f t="shared" si="52"/>
        <v>#DIV/0!</v>
      </c>
      <c r="FH20" s="98" t="e">
        <f t="shared" si="53"/>
        <v>#DIV/0!</v>
      </c>
      <c r="FI20" s="98" t="e">
        <f t="shared" si="54"/>
        <v>#DIV/0!</v>
      </c>
      <c r="FJ20" s="98" t="e">
        <f t="shared" si="55"/>
        <v>#DIV/0!</v>
      </c>
      <c r="FK20" s="98" t="e">
        <f t="shared" si="56"/>
        <v>#DIV/0!</v>
      </c>
      <c r="FL20" s="98" t="e">
        <f t="shared" si="57"/>
        <v>#DIV/0!</v>
      </c>
      <c r="FM20" s="98" t="e">
        <f t="shared" si="58"/>
        <v>#DIV/0!</v>
      </c>
      <c r="FN20" s="98" t="e">
        <f t="shared" si="59"/>
        <v>#DIV/0!</v>
      </c>
      <c r="FO20" s="98" t="e">
        <f t="shared" si="60"/>
        <v>#DIV/0!</v>
      </c>
      <c r="FP20" s="98" t="e">
        <f t="shared" si="61"/>
        <v>#DIV/0!</v>
      </c>
      <c r="FQ20" s="98" t="e">
        <f t="shared" si="62"/>
        <v>#DIV/0!</v>
      </c>
      <c r="FR20" s="98" t="e">
        <f t="shared" si="63"/>
        <v>#DIV/0!</v>
      </c>
      <c r="FS20" s="98" t="e">
        <f t="shared" si="64"/>
        <v>#DIV/0!</v>
      </c>
      <c r="FT20" s="98" t="e">
        <f t="shared" si="65"/>
        <v>#DIV/0!</v>
      </c>
      <c r="FU20" s="98" t="e">
        <f t="shared" si="66"/>
        <v>#DIV/0!</v>
      </c>
      <c r="FV20" s="101">
        <f>IF(B20='Process DB'!$D$27,IF(AB20&gt;$FX$4,1,0),0)</f>
        <v>0</v>
      </c>
      <c r="FW20" s="50">
        <f>IF(B20='Process DB'!$D$27,IF(AC20&gt;$FX$4,1,0),0)</f>
        <v>0</v>
      </c>
      <c r="FX20" s="50">
        <f>IF(B20='Process DB'!$D$27,IF(AD20&gt;$FX$4,1,0),0)</f>
        <v>0</v>
      </c>
      <c r="FY20" s="41"/>
      <c r="GB20" s="101">
        <f>IF(GB$7&gt;0,IF(B20='Process DB'!$D$13,IF(AB20&gt;$GD$4,1,0),0),0)</f>
        <v>0</v>
      </c>
      <c r="GC20" s="102">
        <f>IF(GC$7&gt;0,IF(B20='Process DB'!$D$13,IF(AC20&gt;$GD$4,1,0),0),0)</f>
        <v>0</v>
      </c>
      <c r="GD20" s="102" t="e">
        <f>IF(GD$7&gt;0,IF(B20='Process DB'!$D$13,IF(AD20&gt;$GD$4,1,0),0),0)</f>
        <v>#DIV/0!</v>
      </c>
      <c r="GE20" s="103">
        <f t="shared" si="67"/>
        <v>0</v>
      </c>
      <c r="GF20" s="78">
        <f t="shared" si="67"/>
        <v>0</v>
      </c>
    </row>
    <row r="21" spans="2:189" ht="15" customHeight="1">
      <c r="B21" s="19" t="str">
        <f>VLOOKUP('Process DS'!$D20,'Process DB'!$C$7:$AA$41,B$4)</f>
        <v>-</v>
      </c>
      <c r="C21" s="17">
        <f>VLOOKUP('Process DS'!$D20,'Process DB'!$C$7:$AA$41,C$4)</f>
        <v>0</v>
      </c>
      <c r="D21" s="18">
        <f>VLOOKUP('Process DS'!$D20,'Process DB'!$C$7:$AA$41,D$4)</f>
        <v>0</v>
      </c>
      <c r="E21" s="19">
        <f>VLOOKUP('Process DS'!$D20,'Process DB'!$C$7:$AA$41,E$4)</f>
        <v>0</v>
      </c>
      <c r="F21" s="19">
        <f>VLOOKUP('Process DS'!$D20,'Process DB'!$C$7:$AA$41,F$4)</f>
        <v>0</v>
      </c>
      <c r="G21" s="20">
        <f>VLOOKUP('Process DS'!$D20,'Process DB'!$C$7:$AA$41,G$4)</f>
        <v>0</v>
      </c>
      <c r="H21" s="20">
        <f>VLOOKUP('Process DS'!$D20,'Process DB'!$C$7:$AA$41,H$4)</f>
        <v>0</v>
      </c>
      <c r="I21" s="21">
        <f>VLOOKUP('Process DS'!$D20,'Process DB'!$C$7:$AA$41,I$4)</f>
        <v>0</v>
      </c>
      <c r="J21" s="14">
        <f>VLOOKUP('Process DS'!$D20,'Process DB'!$C$7:$AA$41,J$4)</f>
        <v>0</v>
      </c>
      <c r="K21" s="14">
        <f>VLOOKUP('Process DS'!$D20,'Process DB'!$C$7:$AA$41,K$4)</f>
        <v>0</v>
      </c>
      <c r="L21" s="21">
        <f>VLOOKUP('Process DS'!$D20,'Process DB'!$C$7:$AA$41,L$4)</f>
        <v>0</v>
      </c>
      <c r="M21" s="14">
        <f>VLOOKUP('Process DS'!$D20,'Process DB'!$C$7:$AA$41,M$4)</f>
        <v>0</v>
      </c>
      <c r="N21" s="15">
        <f>VLOOKUP('Process DS'!$D20,'Process DB'!$C$7:$AA$41,N$4)</f>
        <v>0</v>
      </c>
      <c r="O21" s="15">
        <f>VLOOKUP('Process DS'!$D20,'Process DB'!$C$7:$AA$41,O$4)</f>
        <v>0</v>
      </c>
      <c r="P21" s="15">
        <f>VLOOKUP('Process DS'!$D20,'Process DB'!$C$7:$AA$41,P$4)</f>
        <v>0</v>
      </c>
      <c r="Q21" s="15">
        <f>VLOOKUP('Process DS'!$D20,'Process DB'!$C$7:$AA$41,Q$4)</f>
        <v>0</v>
      </c>
      <c r="R21" s="15">
        <f>VLOOKUP('Process DS'!$D20,'Process DB'!$C$7:$AA$41,R$4)</f>
        <v>0</v>
      </c>
      <c r="S21" s="15">
        <f>VLOOKUP('Process DS'!$D20,'Process DB'!$C$7:$AA$41,S$4)</f>
        <v>0</v>
      </c>
      <c r="T21" s="15">
        <f>VLOOKUP('Process DS'!$D20,'Process DB'!$C$7:$AA$41,T$4)</f>
        <v>0</v>
      </c>
      <c r="U21" s="17">
        <f>VLOOKUP('Process DS'!$D20,'Process DB'!$C$7:$AA$41,U$4)</f>
        <v>0</v>
      </c>
      <c r="V21" s="12">
        <f>VLOOKUP('Process DS'!$D20,'Process DB'!$C$7:$AA$41,V$4)</f>
        <v>0</v>
      </c>
      <c r="W21" s="15">
        <f>VLOOKUP('Process DS'!$D20,'Process DB'!$C$7:$AA$41,W$4)</f>
        <v>0</v>
      </c>
      <c r="X21" s="15">
        <f>VLOOKUP('Process DS'!$D20,'Process DB'!$C$7:$AA$41,X$4)</f>
        <v>0</v>
      </c>
      <c r="Y21" s="15">
        <f>VLOOKUP('Process DS'!$D20,'Process DB'!$C$7:$AA$41,Y$4)</f>
        <v>0</v>
      </c>
      <c r="Z21" s="17"/>
      <c r="AB21" s="76">
        <f t="shared" si="1"/>
        <v>0</v>
      </c>
      <c r="AC21" s="77">
        <f t="shared" si="68"/>
        <v>0</v>
      </c>
      <c r="AD21" s="76" t="e">
        <f t="shared" si="69"/>
        <v>#DIV/0!</v>
      </c>
      <c r="AF21" s="78">
        <f t="shared" si="2"/>
        <v>0</v>
      </c>
      <c r="AG21" s="78">
        <f t="shared" si="2"/>
        <v>0</v>
      </c>
      <c r="AH21" s="79" t="e">
        <f t="shared" si="2"/>
        <v>#DIV/0!</v>
      </c>
      <c r="AI21" s="80">
        <f t="shared" si="70"/>
        <v>0</v>
      </c>
      <c r="AJ21" s="80">
        <f t="shared" si="70"/>
        <v>0</v>
      </c>
      <c r="AK21" s="81" t="e">
        <f t="shared" si="70"/>
        <v>#DIV/0!</v>
      </c>
      <c r="AL21" s="105">
        <f t="shared" si="71"/>
        <v>0</v>
      </c>
      <c r="AM21" s="82">
        <f t="shared" si="71"/>
        <v>0</v>
      </c>
      <c r="AN21" s="81" t="e">
        <f t="shared" si="71"/>
        <v>#DIV/0!</v>
      </c>
      <c r="AO21" s="84">
        <f t="shared" si="72"/>
        <v>0</v>
      </c>
      <c r="AP21" s="84">
        <f t="shared" si="73"/>
        <v>0</v>
      </c>
      <c r="AQ21" s="84">
        <f t="shared" si="74"/>
        <v>0</v>
      </c>
      <c r="AR21" s="84">
        <f t="shared" si="75"/>
        <v>0</v>
      </c>
      <c r="AS21" s="84" t="e">
        <f t="shared" si="76"/>
        <v>#DIV/0!</v>
      </c>
      <c r="AT21" s="85" t="e">
        <f t="shared" si="77"/>
        <v>#DIV/0!</v>
      </c>
      <c r="AU21" s="83">
        <f t="shared" si="78"/>
        <v>0</v>
      </c>
      <c r="AV21" s="83">
        <f t="shared" si="79"/>
        <v>0</v>
      </c>
      <c r="AW21" s="83">
        <f t="shared" si="3"/>
        <v>0</v>
      </c>
      <c r="AX21" s="83">
        <f t="shared" si="80"/>
        <v>0</v>
      </c>
      <c r="AY21" s="84" t="e">
        <f t="shared" si="81"/>
        <v>#DIV/0!</v>
      </c>
      <c r="AZ21" s="86" t="e">
        <f t="shared" si="82"/>
        <v>#DIV/0!</v>
      </c>
      <c r="BA21" s="87">
        <f t="shared" si="4"/>
        <v>0</v>
      </c>
      <c r="BB21" s="87">
        <f t="shared" si="4"/>
        <v>0</v>
      </c>
      <c r="BC21" s="88" t="e">
        <f t="shared" si="4"/>
        <v>#DIV/0!</v>
      </c>
      <c r="BD21" s="89">
        <f t="shared" si="5"/>
        <v>0</v>
      </c>
      <c r="BE21" s="89">
        <f t="shared" si="5"/>
        <v>0</v>
      </c>
      <c r="BF21" s="90">
        <f t="shared" si="5"/>
        <v>0</v>
      </c>
      <c r="BG21" s="91">
        <f t="shared" si="83"/>
        <v>0</v>
      </c>
      <c r="BH21" s="91">
        <f t="shared" si="84"/>
        <v>0</v>
      </c>
      <c r="BI21" s="91">
        <f t="shared" si="85"/>
        <v>0</v>
      </c>
      <c r="BJ21" s="91">
        <f t="shared" si="86"/>
        <v>0</v>
      </c>
      <c r="BK21" s="91">
        <f t="shared" si="87"/>
        <v>0</v>
      </c>
      <c r="BL21" s="91">
        <f t="shared" si="88"/>
        <v>0</v>
      </c>
      <c r="BM21" s="91">
        <f t="shared" si="89"/>
        <v>0</v>
      </c>
      <c r="BN21" s="91">
        <f t="shared" si="90"/>
        <v>0</v>
      </c>
      <c r="BO21" s="91">
        <f t="shared" si="91"/>
        <v>0</v>
      </c>
      <c r="BP21" s="91">
        <f t="shared" si="92"/>
        <v>0</v>
      </c>
      <c r="BQ21" s="91">
        <f t="shared" si="93"/>
        <v>0</v>
      </c>
      <c r="BR21" s="91">
        <f t="shared" si="94"/>
        <v>0</v>
      </c>
      <c r="BS21" s="91">
        <f t="shared" si="95"/>
        <v>0</v>
      </c>
      <c r="BT21" s="91">
        <f t="shared" si="96"/>
        <v>0</v>
      </c>
      <c r="BU21" s="91">
        <f t="shared" si="97"/>
        <v>0</v>
      </c>
      <c r="BV21" s="91">
        <f t="shared" si="98"/>
        <v>0</v>
      </c>
      <c r="BW21" s="91">
        <f t="shared" si="99"/>
        <v>0</v>
      </c>
      <c r="BX21" s="90">
        <f t="shared" si="100"/>
        <v>0</v>
      </c>
      <c r="BY21" s="91">
        <f t="shared" si="101"/>
        <v>0</v>
      </c>
      <c r="BZ21" s="91">
        <f t="shared" si="102"/>
        <v>0</v>
      </c>
      <c r="CA21" s="91">
        <f t="shared" si="103"/>
        <v>0</v>
      </c>
      <c r="CB21" s="91">
        <f t="shared" si="104"/>
        <v>0</v>
      </c>
      <c r="CC21" s="91">
        <f t="shared" si="105"/>
        <v>0</v>
      </c>
      <c r="CD21" s="91">
        <f t="shared" si="106"/>
        <v>0</v>
      </c>
      <c r="CE21" s="91">
        <f t="shared" si="107"/>
        <v>0</v>
      </c>
      <c r="CF21" s="91">
        <f t="shared" si="108"/>
        <v>0</v>
      </c>
      <c r="CG21" s="91">
        <f t="shared" si="109"/>
        <v>0</v>
      </c>
      <c r="CH21" s="91">
        <f t="shared" si="110"/>
        <v>0</v>
      </c>
      <c r="CI21" s="91">
        <f t="shared" si="111"/>
        <v>0</v>
      </c>
      <c r="CJ21" s="91">
        <f t="shared" si="112"/>
        <v>0</v>
      </c>
      <c r="CK21" s="91">
        <f t="shared" si="113"/>
        <v>0</v>
      </c>
      <c r="CL21" s="91">
        <f t="shared" si="114"/>
        <v>0</v>
      </c>
      <c r="CM21" s="91">
        <f t="shared" si="115"/>
        <v>0</v>
      </c>
      <c r="CN21" s="91">
        <f t="shared" si="116"/>
        <v>0</v>
      </c>
      <c r="CO21" s="91">
        <f t="shared" si="117"/>
        <v>0</v>
      </c>
      <c r="CP21" s="90">
        <f t="shared" si="118"/>
        <v>0</v>
      </c>
      <c r="CQ21" s="106" t="e">
        <f t="shared" si="119"/>
        <v>#DIV/0!</v>
      </c>
      <c r="CR21" s="91" t="e">
        <f t="shared" si="120"/>
        <v>#DIV/0!</v>
      </c>
      <c r="CS21" s="91" t="e">
        <f t="shared" si="121"/>
        <v>#DIV/0!</v>
      </c>
      <c r="CT21" s="91" t="e">
        <f t="shared" si="122"/>
        <v>#DIV/0!</v>
      </c>
      <c r="CU21" s="91" t="e">
        <f t="shared" si="123"/>
        <v>#DIV/0!</v>
      </c>
      <c r="CV21" s="91" t="e">
        <f t="shared" si="124"/>
        <v>#DIV/0!</v>
      </c>
      <c r="CW21" s="91" t="e">
        <f t="shared" si="125"/>
        <v>#DIV/0!</v>
      </c>
      <c r="CX21" s="91" t="e">
        <f t="shared" si="126"/>
        <v>#DIV/0!</v>
      </c>
      <c r="CY21" s="91" t="e">
        <f t="shared" si="127"/>
        <v>#DIV/0!</v>
      </c>
      <c r="CZ21" s="91" t="e">
        <f t="shared" si="128"/>
        <v>#DIV/0!</v>
      </c>
      <c r="DA21" s="91" t="e">
        <f t="shared" si="129"/>
        <v>#DIV/0!</v>
      </c>
      <c r="DB21" s="91" t="e">
        <f t="shared" si="130"/>
        <v>#DIV/0!</v>
      </c>
      <c r="DC21" s="91" t="e">
        <f t="shared" si="131"/>
        <v>#DIV/0!</v>
      </c>
      <c r="DD21" s="91" t="e">
        <f t="shared" si="132"/>
        <v>#DIV/0!</v>
      </c>
      <c r="DE21" s="91" t="e">
        <f t="shared" si="133"/>
        <v>#DIV/0!</v>
      </c>
      <c r="DF21" s="91" t="e">
        <f t="shared" si="134"/>
        <v>#DIV/0!</v>
      </c>
      <c r="DG21" s="91" t="e">
        <f t="shared" si="135"/>
        <v>#DIV/0!</v>
      </c>
      <c r="DH21" s="92" t="e">
        <f t="shared" si="136"/>
        <v>#DIV/0!</v>
      </c>
      <c r="DI21" s="93">
        <f t="shared" si="137"/>
        <v>0</v>
      </c>
      <c r="DJ21" s="94">
        <f t="shared" si="6"/>
        <v>1</v>
      </c>
      <c r="DK21" s="95">
        <f t="shared" si="7"/>
        <v>0</v>
      </c>
      <c r="DL21" s="95">
        <f t="shared" si="138"/>
        <v>0</v>
      </c>
      <c r="DM21" s="95">
        <f t="shared" si="8"/>
        <v>0</v>
      </c>
      <c r="DN21" s="95">
        <f t="shared" si="139"/>
        <v>0</v>
      </c>
      <c r="DO21" s="95">
        <f t="shared" si="9"/>
        <v>0</v>
      </c>
      <c r="DP21" s="95">
        <f t="shared" si="140"/>
        <v>0</v>
      </c>
      <c r="DQ21" s="96">
        <f t="shared" si="10"/>
        <v>0</v>
      </c>
      <c r="DR21" s="96">
        <f t="shared" si="11"/>
        <v>0</v>
      </c>
      <c r="DS21" s="97">
        <f t="shared" si="12"/>
        <v>0</v>
      </c>
      <c r="DT21" s="98">
        <f t="shared" si="13"/>
        <v>0</v>
      </c>
      <c r="DU21" s="98">
        <f t="shared" si="14"/>
        <v>0</v>
      </c>
      <c r="DV21" s="98">
        <f t="shared" si="15"/>
        <v>0</v>
      </c>
      <c r="DW21" s="98">
        <f t="shared" si="16"/>
        <v>0</v>
      </c>
      <c r="DX21" s="98">
        <f t="shared" si="17"/>
        <v>0</v>
      </c>
      <c r="DY21" s="98">
        <f t="shared" si="18"/>
        <v>0</v>
      </c>
      <c r="DZ21" s="98">
        <f t="shared" si="19"/>
        <v>0</v>
      </c>
      <c r="EA21" s="98">
        <f t="shared" si="20"/>
        <v>0</v>
      </c>
      <c r="EB21" s="98">
        <f t="shared" si="21"/>
        <v>0</v>
      </c>
      <c r="EC21" s="98">
        <f t="shared" si="22"/>
        <v>0</v>
      </c>
      <c r="ED21" s="98">
        <f t="shared" si="23"/>
        <v>0</v>
      </c>
      <c r="EE21" s="98">
        <f t="shared" si="24"/>
        <v>0</v>
      </c>
      <c r="EF21" s="98">
        <f t="shared" si="25"/>
        <v>0</v>
      </c>
      <c r="EG21" s="98">
        <f t="shared" si="26"/>
        <v>0</v>
      </c>
      <c r="EH21" s="98">
        <f t="shared" si="27"/>
        <v>0</v>
      </c>
      <c r="EI21" s="98">
        <f t="shared" si="28"/>
        <v>0</v>
      </c>
      <c r="EJ21" s="98">
        <f t="shared" si="29"/>
        <v>0</v>
      </c>
      <c r="EK21" s="99">
        <f t="shared" si="30"/>
        <v>0</v>
      </c>
      <c r="EL21" s="98">
        <f t="shared" si="31"/>
        <v>0</v>
      </c>
      <c r="EM21" s="98">
        <f t="shared" si="32"/>
        <v>0</v>
      </c>
      <c r="EN21" s="98">
        <f t="shared" si="33"/>
        <v>0</v>
      </c>
      <c r="EO21" s="98">
        <f t="shared" si="34"/>
        <v>0</v>
      </c>
      <c r="EP21" s="98">
        <f t="shared" si="35"/>
        <v>0</v>
      </c>
      <c r="EQ21" s="98">
        <f t="shared" si="36"/>
        <v>0</v>
      </c>
      <c r="ER21" s="98">
        <f t="shared" si="37"/>
        <v>0</v>
      </c>
      <c r="ES21" s="98">
        <f t="shared" si="38"/>
        <v>0</v>
      </c>
      <c r="ET21" s="98">
        <f t="shared" si="39"/>
        <v>0</v>
      </c>
      <c r="EU21" s="98">
        <f t="shared" si="40"/>
        <v>0</v>
      </c>
      <c r="EV21" s="98">
        <f t="shared" si="41"/>
        <v>0</v>
      </c>
      <c r="EW21" s="98">
        <f t="shared" si="42"/>
        <v>0</v>
      </c>
      <c r="EX21" s="98">
        <f t="shared" si="43"/>
        <v>0</v>
      </c>
      <c r="EY21" s="98">
        <f t="shared" si="44"/>
        <v>0</v>
      </c>
      <c r="EZ21" s="98">
        <f t="shared" si="45"/>
        <v>0</v>
      </c>
      <c r="FA21" s="98">
        <f t="shared" si="46"/>
        <v>0</v>
      </c>
      <c r="FB21" s="98">
        <f t="shared" si="47"/>
        <v>0</v>
      </c>
      <c r="FC21" s="98">
        <f t="shared" si="48"/>
        <v>0</v>
      </c>
      <c r="FD21" s="100" t="e">
        <f t="shared" si="49"/>
        <v>#DIV/0!</v>
      </c>
      <c r="FE21" s="98" t="e">
        <f t="shared" si="50"/>
        <v>#DIV/0!</v>
      </c>
      <c r="FF21" s="98" t="e">
        <f t="shared" si="51"/>
        <v>#DIV/0!</v>
      </c>
      <c r="FG21" s="98" t="e">
        <f t="shared" si="52"/>
        <v>#DIV/0!</v>
      </c>
      <c r="FH21" s="98" t="e">
        <f t="shared" si="53"/>
        <v>#DIV/0!</v>
      </c>
      <c r="FI21" s="98" t="e">
        <f t="shared" si="54"/>
        <v>#DIV/0!</v>
      </c>
      <c r="FJ21" s="98" t="e">
        <f t="shared" si="55"/>
        <v>#DIV/0!</v>
      </c>
      <c r="FK21" s="98" t="e">
        <f t="shared" si="56"/>
        <v>#DIV/0!</v>
      </c>
      <c r="FL21" s="98" t="e">
        <f t="shared" si="57"/>
        <v>#DIV/0!</v>
      </c>
      <c r="FM21" s="98" t="e">
        <f t="shared" si="58"/>
        <v>#DIV/0!</v>
      </c>
      <c r="FN21" s="98" t="e">
        <f t="shared" si="59"/>
        <v>#DIV/0!</v>
      </c>
      <c r="FO21" s="98" t="e">
        <f t="shared" si="60"/>
        <v>#DIV/0!</v>
      </c>
      <c r="FP21" s="98" t="e">
        <f t="shared" si="61"/>
        <v>#DIV/0!</v>
      </c>
      <c r="FQ21" s="98" t="e">
        <f t="shared" si="62"/>
        <v>#DIV/0!</v>
      </c>
      <c r="FR21" s="98" t="e">
        <f t="shared" si="63"/>
        <v>#DIV/0!</v>
      </c>
      <c r="FS21" s="98" t="e">
        <f t="shared" si="64"/>
        <v>#DIV/0!</v>
      </c>
      <c r="FT21" s="98" t="e">
        <f t="shared" si="65"/>
        <v>#DIV/0!</v>
      </c>
      <c r="FU21" s="98" t="e">
        <f t="shared" si="66"/>
        <v>#DIV/0!</v>
      </c>
      <c r="FV21" s="101">
        <f>IF(B21='Process DB'!$D$27,IF(AB21&gt;$FX$4,1,0),0)</f>
        <v>0</v>
      </c>
      <c r="FW21" s="50">
        <f>IF(B21='Process DB'!$D$27,IF(AC21&gt;$FX$4,1,0),0)</f>
        <v>0</v>
      </c>
      <c r="FX21" s="50">
        <f>IF(B21='Process DB'!$D$27,IF(AD21&gt;$FX$4,1,0),0)</f>
        <v>0</v>
      </c>
      <c r="FY21" s="41"/>
      <c r="GB21" s="101">
        <f>IF(GB$7&gt;0,IF(B21='Process DB'!$D$13,IF(AB21&gt;$GD$4,1,0),0),0)</f>
        <v>0</v>
      </c>
      <c r="GC21" s="102">
        <f>IF(GC$7&gt;0,IF(B21='Process DB'!$D$13,IF(AC21&gt;$GD$4,1,0),0),0)</f>
        <v>0</v>
      </c>
      <c r="GD21" s="102" t="e">
        <f>IF(GD$7&gt;0,IF(B21='Process DB'!$D$13,IF(AD21&gt;$GD$4,1,0),0),0)</f>
        <v>#DIV/0!</v>
      </c>
      <c r="GE21" s="103">
        <f t="shared" si="67"/>
        <v>0</v>
      </c>
      <c r="GF21" s="78">
        <f t="shared" si="67"/>
        <v>0</v>
      </c>
    </row>
    <row r="22" spans="2:189" ht="15" customHeight="1">
      <c r="B22" s="19" t="str">
        <f>VLOOKUP('Process DS'!$D21,'Process DB'!$C$7:$AA$41,B$4)</f>
        <v>-</v>
      </c>
      <c r="C22" s="17">
        <f>VLOOKUP('Process DS'!$D21,'Process DB'!$C$7:$AA$41,C$4)</f>
        <v>0</v>
      </c>
      <c r="D22" s="18">
        <f>VLOOKUP('Process DS'!$D21,'Process DB'!$C$7:$AA$41,D$4)</f>
        <v>0</v>
      </c>
      <c r="E22" s="19">
        <f>VLOOKUP('Process DS'!$D21,'Process DB'!$C$7:$AA$41,E$4)</f>
        <v>0</v>
      </c>
      <c r="F22" s="19">
        <f>VLOOKUP('Process DS'!$D21,'Process DB'!$C$7:$AA$41,F$4)</f>
        <v>0</v>
      </c>
      <c r="G22" s="20">
        <f>VLOOKUP('Process DS'!$D21,'Process DB'!$C$7:$AA$41,G$4)</f>
        <v>0</v>
      </c>
      <c r="H22" s="20">
        <f>VLOOKUP('Process DS'!$D21,'Process DB'!$C$7:$AA$41,H$4)</f>
        <v>0</v>
      </c>
      <c r="I22" s="21">
        <f>VLOOKUP('Process DS'!$D21,'Process DB'!$C$7:$AA$41,I$4)</f>
        <v>0</v>
      </c>
      <c r="J22" s="14">
        <f>VLOOKUP('Process DS'!$D21,'Process DB'!$C$7:$AA$41,J$4)</f>
        <v>0</v>
      </c>
      <c r="K22" s="14">
        <f>VLOOKUP('Process DS'!$D21,'Process DB'!$C$7:$AA$41,K$4)</f>
        <v>0</v>
      </c>
      <c r="L22" s="21">
        <f>VLOOKUP('Process DS'!$D21,'Process DB'!$C$7:$AA$41,L$4)</f>
        <v>0</v>
      </c>
      <c r="M22" s="14">
        <f>VLOOKUP('Process DS'!$D21,'Process DB'!$C$7:$AA$41,M$4)</f>
        <v>0</v>
      </c>
      <c r="N22" s="15">
        <f>VLOOKUP('Process DS'!$D21,'Process DB'!$C$7:$AA$41,N$4)</f>
        <v>0</v>
      </c>
      <c r="O22" s="15">
        <f>VLOOKUP('Process DS'!$D21,'Process DB'!$C$7:$AA$41,O$4)</f>
        <v>0</v>
      </c>
      <c r="P22" s="15">
        <f>VLOOKUP('Process DS'!$D21,'Process DB'!$C$7:$AA$41,P$4)</f>
        <v>0</v>
      </c>
      <c r="Q22" s="15">
        <f>VLOOKUP('Process DS'!$D21,'Process DB'!$C$7:$AA$41,Q$4)</f>
        <v>0</v>
      </c>
      <c r="R22" s="15">
        <f>VLOOKUP('Process DS'!$D21,'Process DB'!$C$7:$AA$41,R$4)</f>
        <v>0</v>
      </c>
      <c r="S22" s="15">
        <f>VLOOKUP('Process DS'!$D21,'Process DB'!$C$7:$AA$41,S$4)</f>
        <v>0</v>
      </c>
      <c r="T22" s="15">
        <f>VLOOKUP('Process DS'!$D21,'Process DB'!$C$7:$AA$41,T$4)</f>
        <v>0</v>
      </c>
      <c r="U22" s="17">
        <f>VLOOKUP('Process DS'!$D21,'Process DB'!$C$7:$AA$41,U$4)</f>
        <v>0</v>
      </c>
      <c r="V22" s="12">
        <f>VLOOKUP('Process DS'!$D21,'Process DB'!$C$7:$AA$41,V$4)</f>
        <v>0</v>
      </c>
      <c r="W22" s="15">
        <f>VLOOKUP('Process DS'!$D21,'Process DB'!$C$7:$AA$41,W$4)</f>
        <v>0</v>
      </c>
      <c r="X22" s="15">
        <f>VLOOKUP('Process DS'!$D21,'Process DB'!$C$7:$AA$41,X$4)</f>
        <v>0</v>
      </c>
      <c r="Y22" s="15">
        <f>VLOOKUP('Process DS'!$D21,'Process DB'!$C$7:$AA$41,Y$4)</f>
        <v>0</v>
      </c>
      <c r="Z22" s="17"/>
      <c r="AB22" s="76">
        <f t="shared" si="1"/>
        <v>0</v>
      </c>
      <c r="AC22" s="77">
        <f t="shared" si="68"/>
        <v>0</v>
      </c>
      <c r="AD22" s="76" t="e">
        <f t="shared" si="69"/>
        <v>#DIV/0!</v>
      </c>
      <c r="AF22" s="78">
        <f t="shared" si="2"/>
        <v>0</v>
      </c>
      <c r="AG22" s="78">
        <f t="shared" si="2"/>
        <v>0</v>
      </c>
      <c r="AH22" s="79" t="e">
        <f t="shared" si="2"/>
        <v>#DIV/0!</v>
      </c>
      <c r="AI22" s="80">
        <f t="shared" si="70"/>
        <v>0</v>
      </c>
      <c r="AJ22" s="80">
        <f t="shared" si="70"/>
        <v>0</v>
      </c>
      <c r="AK22" s="81" t="e">
        <f t="shared" si="70"/>
        <v>#DIV/0!</v>
      </c>
      <c r="AL22" s="105">
        <f t="shared" si="71"/>
        <v>0</v>
      </c>
      <c r="AM22" s="82">
        <f t="shared" si="71"/>
        <v>0</v>
      </c>
      <c r="AN22" s="81" t="e">
        <f t="shared" si="71"/>
        <v>#DIV/0!</v>
      </c>
      <c r="AO22" s="84">
        <f t="shared" si="72"/>
        <v>0</v>
      </c>
      <c r="AP22" s="84">
        <f t="shared" si="73"/>
        <v>0</v>
      </c>
      <c r="AQ22" s="84">
        <f t="shared" si="74"/>
        <v>0</v>
      </c>
      <c r="AR22" s="84">
        <f t="shared" si="75"/>
        <v>0</v>
      </c>
      <c r="AS22" s="84" t="e">
        <f t="shared" si="76"/>
        <v>#DIV/0!</v>
      </c>
      <c r="AT22" s="85" t="e">
        <f t="shared" si="77"/>
        <v>#DIV/0!</v>
      </c>
      <c r="AU22" s="83">
        <f t="shared" si="78"/>
        <v>0</v>
      </c>
      <c r="AV22" s="83">
        <f t="shared" si="79"/>
        <v>0</v>
      </c>
      <c r="AW22" s="83">
        <f t="shared" si="3"/>
        <v>0</v>
      </c>
      <c r="AX22" s="83">
        <f t="shared" si="80"/>
        <v>0</v>
      </c>
      <c r="AY22" s="84" t="e">
        <f t="shared" si="81"/>
        <v>#DIV/0!</v>
      </c>
      <c r="AZ22" s="86" t="e">
        <f t="shared" si="82"/>
        <v>#DIV/0!</v>
      </c>
      <c r="BA22" s="87">
        <f t="shared" si="4"/>
        <v>0</v>
      </c>
      <c r="BB22" s="87">
        <f t="shared" si="4"/>
        <v>0</v>
      </c>
      <c r="BC22" s="88" t="e">
        <f t="shared" si="4"/>
        <v>#DIV/0!</v>
      </c>
      <c r="BD22" s="89">
        <f t="shared" si="5"/>
        <v>0</v>
      </c>
      <c r="BE22" s="89">
        <f t="shared" si="5"/>
        <v>0</v>
      </c>
      <c r="BF22" s="90">
        <f t="shared" si="5"/>
        <v>0</v>
      </c>
      <c r="BG22" s="91">
        <f t="shared" si="83"/>
        <v>0</v>
      </c>
      <c r="BH22" s="91">
        <f t="shared" si="84"/>
        <v>0</v>
      </c>
      <c r="BI22" s="91">
        <f t="shared" si="85"/>
        <v>0</v>
      </c>
      <c r="BJ22" s="91">
        <f t="shared" si="86"/>
        <v>0</v>
      </c>
      <c r="BK22" s="91">
        <f t="shared" si="87"/>
        <v>0</v>
      </c>
      <c r="BL22" s="91">
        <f t="shared" si="88"/>
        <v>0</v>
      </c>
      <c r="BM22" s="91">
        <f t="shared" si="89"/>
        <v>0</v>
      </c>
      <c r="BN22" s="91">
        <f t="shared" si="90"/>
        <v>0</v>
      </c>
      <c r="BO22" s="91">
        <f t="shared" si="91"/>
        <v>0</v>
      </c>
      <c r="BP22" s="91">
        <f t="shared" si="92"/>
        <v>0</v>
      </c>
      <c r="BQ22" s="91">
        <f t="shared" si="93"/>
        <v>0</v>
      </c>
      <c r="BR22" s="91">
        <f t="shared" si="94"/>
        <v>0</v>
      </c>
      <c r="BS22" s="91">
        <f t="shared" si="95"/>
        <v>0</v>
      </c>
      <c r="BT22" s="91">
        <f t="shared" si="96"/>
        <v>0</v>
      </c>
      <c r="BU22" s="91">
        <f t="shared" si="97"/>
        <v>0</v>
      </c>
      <c r="BV22" s="91">
        <f t="shared" si="98"/>
        <v>0</v>
      </c>
      <c r="BW22" s="91">
        <f t="shared" si="99"/>
        <v>0</v>
      </c>
      <c r="BX22" s="90">
        <f t="shared" si="100"/>
        <v>0</v>
      </c>
      <c r="BY22" s="91">
        <f t="shared" si="101"/>
        <v>0</v>
      </c>
      <c r="BZ22" s="91">
        <f t="shared" si="102"/>
        <v>0</v>
      </c>
      <c r="CA22" s="91">
        <f t="shared" si="103"/>
        <v>0</v>
      </c>
      <c r="CB22" s="91">
        <f t="shared" si="104"/>
        <v>0</v>
      </c>
      <c r="CC22" s="91">
        <f t="shared" si="105"/>
        <v>0</v>
      </c>
      <c r="CD22" s="91">
        <f t="shared" si="106"/>
        <v>0</v>
      </c>
      <c r="CE22" s="91">
        <f t="shared" si="107"/>
        <v>0</v>
      </c>
      <c r="CF22" s="91">
        <f t="shared" si="108"/>
        <v>0</v>
      </c>
      <c r="CG22" s="91">
        <f t="shared" si="109"/>
        <v>0</v>
      </c>
      <c r="CH22" s="91">
        <f t="shared" si="110"/>
        <v>0</v>
      </c>
      <c r="CI22" s="91">
        <f t="shared" si="111"/>
        <v>0</v>
      </c>
      <c r="CJ22" s="91">
        <f t="shared" si="112"/>
        <v>0</v>
      </c>
      <c r="CK22" s="91">
        <f t="shared" si="113"/>
        <v>0</v>
      </c>
      <c r="CL22" s="91">
        <f t="shared" si="114"/>
        <v>0</v>
      </c>
      <c r="CM22" s="91">
        <f t="shared" si="115"/>
        <v>0</v>
      </c>
      <c r="CN22" s="91">
        <f t="shared" si="116"/>
        <v>0</v>
      </c>
      <c r="CO22" s="91">
        <f t="shared" si="117"/>
        <v>0</v>
      </c>
      <c r="CP22" s="90">
        <f t="shared" si="118"/>
        <v>0</v>
      </c>
      <c r="CQ22" s="106" t="e">
        <f t="shared" si="119"/>
        <v>#DIV/0!</v>
      </c>
      <c r="CR22" s="91" t="e">
        <f t="shared" si="120"/>
        <v>#DIV/0!</v>
      </c>
      <c r="CS22" s="91" t="e">
        <f t="shared" si="121"/>
        <v>#DIV/0!</v>
      </c>
      <c r="CT22" s="91" t="e">
        <f t="shared" si="122"/>
        <v>#DIV/0!</v>
      </c>
      <c r="CU22" s="91" t="e">
        <f t="shared" si="123"/>
        <v>#DIV/0!</v>
      </c>
      <c r="CV22" s="91" t="e">
        <f t="shared" si="124"/>
        <v>#DIV/0!</v>
      </c>
      <c r="CW22" s="91" t="e">
        <f t="shared" si="125"/>
        <v>#DIV/0!</v>
      </c>
      <c r="CX22" s="91" t="e">
        <f t="shared" si="126"/>
        <v>#DIV/0!</v>
      </c>
      <c r="CY22" s="91" t="e">
        <f t="shared" si="127"/>
        <v>#DIV/0!</v>
      </c>
      <c r="CZ22" s="91" t="e">
        <f t="shared" si="128"/>
        <v>#DIV/0!</v>
      </c>
      <c r="DA22" s="91" t="e">
        <f t="shared" si="129"/>
        <v>#DIV/0!</v>
      </c>
      <c r="DB22" s="91" t="e">
        <f t="shared" si="130"/>
        <v>#DIV/0!</v>
      </c>
      <c r="DC22" s="91" t="e">
        <f t="shared" si="131"/>
        <v>#DIV/0!</v>
      </c>
      <c r="DD22" s="91" t="e">
        <f t="shared" si="132"/>
        <v>#DIV/0!</v>
      </c>
      <c r="DE22" s="91" t="e">
        <f t="shared" si="133"/>
        <v>#DIV/0!</v>
      </c>
      <c r="DF22" s="91" t="e">
        <f t="shared" si="134"/>
        <v>#DIV/0!</v>
      </c>
      <c r="DG22" s="91" t="e">
        <f t="shared" si="135"/>
        <v>#DIV/0!</v>
      </c>
      <c r="DH22" s="92" t="e">
        <f t="shared" si="136"/>
        <v>#DIV/0!</v>
      </c>
      <c r="DI22" s="93">
        <f t="shared" si="137"/>
        <v>0</v>
      </c>
      <c r="DJ22" s="94">
        <f t="shared" si="6"/>
        <v>1</v>
      </c>
      <c r="DK22" s="95">
        <f t="shared" si="7"/>
        <v>0</v>
      </c>
      <c r="DL22" s="95">
        <f t="shared" si="138"/>
        <v>0</v>
      </c>
      <c r="DM22" s="95">
        <f t="shared" si="8"/>
        <v>0</v>
      </c>
      <c r="DN22" s="95">
        <f t="shared" si="139"/>
        <v>0</v>
      </c>
      <c r="DO22" s="95">
        <f t="shared" si="9"/>
        <v>0</v>
      </c>
      <c r="DP22" s="95">
        <f t="shared" si="140"/>
        <v>0</v>
      </c>
      <c r="DQ22" s="96">
        <f t="shared" si="10"/>
        <v>0</v>
      </c>
      <c r="DR22" s="96">
        <f t="shared" si="11"/>
        <v>0</v>
      </c>
      <c r="DS22" s="97">
        <f t="shared" si="12"/>
        <v>0</v>
      </c>
      <c r="DT22" s="98">
        <f t="shared" si="13"/>
        <v>0</v>
      </c>
      <c r="DU22" s="98">
        <f t="shared" si="14"/>
        <v>0</v>
      </c>
      <c r="DV22" s="98">
        <f t="shared" si="15"/>
        <v>0</v>
      </c>
      <c r="DW22" s="98">
        <f t="shared" si="16"/>
        <v>0</v>
      </c>
      <c r="DX22" s="98">
        <f t="shared" si="17"/>
        <v>0</v>
      </c>
      <c r="DY22" s="98">
        <f t="shared" si="18"/>
        <v>0</v>
      </c>
      <c r="DZ22" s="98">
        <f t="shared" si="19"/>
        <v>0</v>
      </c>
      <c r="EA22" s="98">
        <f t="shared" si="20"/>
        <v>0</v>
      </c>
      <c r="EB22" s="98">
        <f t="shared" si="21"/>
        <v>0</v>
      </c>
      <c r="EC22" s="98">
        <f t="shared" si="22"/>
        <v>0</v>
      </c>
      <c r="ED22" s="98">
        <f t="shared" si="23"/>
        <v>0</v>
      </c>
      <c r="EE22" s="98">
        <f t="shared" si="24"/>
        <v>0</v>
      </c>
      <c r="EF22" s="98">
        <f t="shared" si="25"/>
        <v>0</v>
      </c>
      <c r="EG22" s="98">
        <f t="shared" si="26"/>
        <v>0</v>
      </c>
      <c r="EH22" s="98">
        <f t="shared" si="27"/>
        <v>0</v>
      </c>
      <c r="EI22" s="98">
        <f t="shared" si="28"/>
        <v>0</v>
      </c>
      <c r="EJ22" s="98">
        <f t="shared" si="29"/>
        <v>0</v>
      </c>
      <c r="EK22" s="99">
        <f t="shared" si="30"/>
        <v>0</v>
      </c>
      <c r="EL22" s="98">
        <f t="shared" si="31"/>
        <v>0</v>
      </c>
      <c r="EM22" s="98">
        <f t="shared" si="32"/>
        <v>0</v>
      </c>
      <c r="EN22" s="98">
        <f t="shared" si="33"/>
        <v>0</v>
      </c>
      <c r="EO22" s="98">
        <f t="shared" si="34"/>
        <v>0</v>
      </c>
      <c r="EP22" s="98">
        <f t="shared" si="35"/>
        <v>0</v>
      </c>
      <c r="EQ22" s="98">
        <f t="shared" si="36"/>
        <v>0</v>
      </c>
      <c r="ER22" s="98">
        <f t="shared" si="37"/>
        <v>0</v>
      </c>
      <c r="ES22" s="98">
        <f t="shared" si="38"/>
        <v>0</v>
      </c>
      <c r="ET22" s="98">
        <f t="shared" si="39"/>
        <v>0</v>
      </c>
      <c r="EU22" s="98">
        <f t="shared" si="40"/>
        <v>0</v>
      </c>
      <c r="EV22" s="98">
        <f t="shared" si="41"/>
        <v>0</v>
      </c>
      <c r="EW22" s="98">
        <f t="shared" si="42"/>
        <v>0</v>
      </c>
      <c r="EX22" s="98">
        <f t="shared" si="43"/>
        <v>0</v>
      </c>
      <c r="EY22" s="98">
        <f t="shared" si="44"/>
        <v>0</v>
      </c>
      <c r="EZ22" s="98">
        <f t="shared" si="45"/>
        <v>0</v>
      </c>
      <c r="FA22" s="98">
        <f t="shared" si="46"/>
        <v>0</v>
      </c>
      <c r="FB22" s="98">
        <f t="shared" si="47"/>
        <v>0</v>
      </c>
      <c r="FC22" s="98">
        <f t="shared" si="48"/>
        <v>0</v>
      </c>
      <c r="FD22" s="100" t="e">
        <f t="shared" si="49"/>
        <v>#DIV/0!</v>
      </c>
      <c r="FE22" s="98" t="e">
        <f t="shared" si="50"/>
        <v>#DIV/0!</v>
      </c>
      <c r="FF22" s="98" t="e">
        <f t="shared" si="51"/>
        <v>#DIV/0!</v>
      </c>
      <c r="FG22" s="98" t="e">
        <f t="shared" si="52"/>
        <v>#DIV/0!</v>
      </c>
      <c r="FH22" s="98" t="e">
        <f t="shared" si="53"/>
        <v>#DIV/0!</v>
      </c>
      <c r="FI22" s="98" t="e">
        <f t="shared" si="54"/>
        <v>#DIV/0!</v>
      </c>
      <c r="FJ22" s="98" t="e">
        <f t="shared" si="55"/>
        <v>#DIV/0!</v>
      </c>
      <c r="FK22" s="98" t="e">
        <f t="shared" si="56"/>
        <v>#DIV/0!</v>
      </c>
      <c r="FL22" s="98" t="e">
        <f t="shared" si="57"/>
        <v>#DIV/0!</v>
      </c>
      <c r="FM22" s="98" t="e">
        <f t="shared" si="58"/>
        <v>#DIV/0!</v>
      </c>
      <c r="FN22" s="98" t="e">
        <f t="shared" si="59"/>
        <v>#DIV/0!</v>
      </c>
      <c r="FO22" s="98" t="e">
        <f t="shared" si="60"/>
        <v>#DIV/0!</v>
      </c>
      <c r="FP22" s="98" t="e">
        <f t="shared" si="61"/>
        <v>#DIV/0!</v>
      </c>
      <c r="FQ22" s="98" t="e">
        <f t="shared" si="62"/>
        <v>#DIV/0!</v>
      </c>
      <c r="FR22" s="98" t="e">
        <f t="shared" si="63"/>
        <v>#DIV/0!</v>
      </c>
      <c r="FS22" s="98" t="e">
        <f t="shared" si="64"/>
        <v>#DIV/0!</v>
      </c>
      <c r="FT22" s="98" t="e">
        <f t="shared" si="65"/>
        <v>#DIV/0!</v>
      </c>
      <c r="FU22" s="98" t="e">
        <f t="shared" si="66"/>
        <v>#DIV/0!</v>
      </c>
      <c r="FV22" s="101">
        <f>IF(B22='Process DB'!$D$27,IF(AB22&gt;$FX$4,1,0),0)</f>
        <v>0</v>
      </c>
      <c r="FW22" s="50">
        <f>IF(B22='Process DB'!$D$27,IF(AC22&gt;$FX$4,1,0),0)</f>
        <v>0</v>
      </c>
      <c r="FX22" s="50">
        <f>IF(B22='Process DB'!$D$27,IF(AD22&gt;$FX$4,1,0),0)</f>
        <v>0</v>
      </c>
      <c r="FY22" s="41"/>
      <c r="GB22" s="101">
        <f>IF(GB$7&gt;0,IF(B22='Process DB'!$D$13,IF(AB22&gt;$GD$4,1,0),0),0)</f>
        <v>0</v>
      </c>
      <c r="GC22" s="102">
        <f>IF(GC$7&gt;0,IF(B22='Process DB'!$D$13,IF(AC22&gt;$GD$4,1,0),0),0)</f>
        <v>0</v>
      </c>
      <c r="GD22" s="102" t="e">
        <f>IF(GD$7&gt;0,IF(B22='Process DB'!$D$13,IF(AD22&gt;$GD$4,1,0),0),0)</f>
        <v>#DIV/0!</v>
      </c>
      <c r="GE22" s="103">
        <f t="shared" si="67"/>
        <v>0</v>
      </c>
      <c r="GF22" s="78">
        <f t="shared" si="67"/>
        <v>0</v>
      </c>
    </row>
    <row r="23" spans="2:189" ht="15" customHeight="1">
      <c r="B23" s="19" t="str">
        <f>VLOOKUP('Process DS'!$D22,'Process DB'!$C$7:$AA$41,B$4)</f>
        <v>-</v>
      </c>
      <c r="C23" s="17">
        <f>VLOOKUP('Process DS'!$D22,'Process DB'!$C$7:$AA$41,C$4)</f>
        <v>0</v>
      </c>
      <c r="D23" s="18">
        <f>VLOOKUP('Process DS'!$D22,'Process DB'!$C$7:$AA$41,D$4)</f>
        <v>0</v>
      </c>
      <c r="E23" s="19">
        <f>VLOOKUP('Process DS'!$D22,'Process DB'!$C$7:$AA$41,E$4)</f>
        <v>0</v>
      </c>
      <c r="F23" s="19">
        <f>VLOOKUP('Process DS'!$D22,'Process DB'!$C$7:$AA$41,F$4)</f>
        <v>0</v>
      </c>
      <c r="G23" s="20">
        <f>VLOOKUP('Process DS'!$D22,'Process DB'!$C$7:$AA$41,G$4)</f>
        <v>0</v>
      </c>
      <c r="H23" s="20">
        <f>VLOOKUP('Process DS'!$D22,'Process DB'!$C$7:$AA$41,H$4)</f>
        <v>0</v>
      </c>
      <c r="I23" s="21">
        <f>VLOOKUP('Process DS'!$D22,'Process DB'!$C$7:$AA$41,I$4)</f>
        <v>0</v>
      </c>
      <c r="J23" s="14">
        <f>VLOOKUP('Process DS'!$D22,'Process DB'!$C$7:$AA$41,J$4)</f>
        <v>0</v>
      </c>
      <c r="K23" s="14">
        <f>VLOOKUP('Process DS'!$D22,'Process DB'!$C$7:$AA$41,K$4)</f>
        <v>0</v>
      </c>
      <c r="L23" s="21">
        <f>VLOOKUP('Process DS'!$D22,'Process DB'!$C$7:$AA$41,L$4)</f>
        <v>0</v>
      </c>
      <c r="M23" s="14">
        <f>VLOOKUP('Process DS'!$D22,'Process DB'!$C$7:$AA$41,M$4)</f>
        <v>0</v>
      </c>
      <c r="N23" s="15">
        <f>VLOOKUP('Process DS'!$D22,'Process DB'!$C$7:$AA$41,N$4)</f>
        <v>0</v>
      </c>
      <c r="O23" s="15">
        <f>VLOOKUP('Process DS'!$D22,'Process DB'!$C$7:$AA$41,O$4)</f>
        <v>0</v>
      </c>
      <c r="P23" s="15">
        <f>VLOOKUP('Process DS'!$D22,'Process DB'!$C$7:$AA$41,P$4)</f>
        <v>0</v>
      </c>
      <c r="Q23" s="15">
        <f>VLOOKUP('Process DS'!$D22,'Process DB'!$C$7:$AA$41,Q$4)</f>
        <v>0</v>
      </c>
      <c r="R23" s="15">
        <f>VLOOKUP('Process DS'!$D22,'Process DB'!$C$7:$AA$41,R$4)</f>
        <v>0</v>
      </c>
      <c r="S23" s="15">
        <f>VLOOKUP('Process DS'!$D22,'Process DB'!$C$7:$AA$41,S$4)</f>
        <v>0</v>
      </c>
      <c r="T23" s="15">
        <f>VLOOKUP('Process DS'!$D22,'Process DB'!$C$7:$AA$41,T$4)</f>
        <v>0</v>
      </c>
      <c r="U23" s="17">
        <f>VLOOKUP('Process DS'!$D22,'Process DB'!$C$7:$AA$41,U$4)</f>
        <v>0</v>
      </c>
      <c r="V23" s="12">
        <f>VLOOKUP('Process DS'!$D22,'Process DB'!$C$7:$AA$41,V$4)</f>
        <v>0</v>
      </c>
      <c r="W23" s="15">
        <f>VLOOKUP('Process DS'!$D22,'Process DB'!$C$7:$AA$41,W$4)</f>
        <v>0</v>
      </c>
      <c r="X23" s="15">
        <f>VLOOKUP('Process DS'!$D22,'Process DB'!$C$7:$AA$41,X$4)</f>
        <v>0</v>
      </c>
      <c r="Y23" s="15">
        <f>VLOOKUP('Process DS'!$D22,'Process DB'!$C$7:$AA$41,Y$4)</f>
        <v>0</v>
      </c>
      <c r="Z23" s="17"/>
      <c r="AB23" s="76">
        <f t="shared" si="1"/>
        <v>0</v>
      </c>
      <c r="AC23" s="77">
        <f t="shared" si="68"/>
        <v>0</v>
      </c>
      <c r="AD23" s="76" t="e">
        <f t="shared" si="69"/>
        <v>#DIV/0!</v>
      </c>
      <c r="AF23" s="78">
        <f t="shared" si="2"/>
        <v>0</v>
      </c>
      <c r="AG23" s="78">
        <f t="shared" si="2"/>
        <v>0</v>
      </c>
      <c r="AH23" s="79" t="e">
        <f t="shared" si="2"/>
        <v>#DIV/0!</v>
      </c>
      <c r="AI23" s="80">
        <f t="shared" si="70"/>
        <v>0</v>
      </c>
      <c r="AJ23" s="80">
        <f t="shared" si="70"/>
        <v>0</v>
      </c>
      <c r="AK23" s="81" t="e">
        <f t="shared" si="70"/>
        <v>#DIV/0!</v>
      </c>
      <c r="AL23" s="105">
        <f t="shared" si="71"/>
        <v>0</v>
      </c>
      <c r="AM23" s="82">
        <f t="shared" si="71"/>
        <v>0</v>
      </c>
      <c r="AN23" s="81" t="e">
        <f t="shared" si="71"/>
        <v>#DIV/0!</v>
      </c>
      <c r="AO23" s="84">
        <f t="shared" si="72"/>
        <v>0</v>
      </c>
      <c r="AP23" s="84">
        <f t="shared" si="73"/>
        <v>0</v>
      </c>
      <c r="AQ23" s="84">
        <f t="shared" si="74"/>
        <v>0</v>
      </c>
      <c r="AR23" s="84">
        <f t="shared" si="75"/>
        <v>0</v>
      </c>
      <c r="AS23" s="84" t="e">
        <f t="shared" si="76"/>
        <v>#DIV/0!</v>
      </c>
      <c r="AT23" s="85" t="e">
        <f t="shared" si="77"/>
        <v>#DIV/0!</v>
      </c>
      <c r="AU23" s="83">
        <f t="shared" si="78"/>
        <v>0</v>
      </c>
      <c r="AV23" s="83">
        <f t="shared" si="79"/>
        <v>0</v>
      </c>
      <c r="AW23" s="83">
        <f t="shared" si="3"/>
        <v>0</v>
      </c>
      <c r="AX23" s="83">
        <f t="shared" si="80"/>
        <v>0</v>
      </c>
      <c r="AY23" s="84" t="e">
        <f t="shared" si="81"/>
        <v>#DIV/0!</v>
      </c>
      <c r="AZ23" s="86" t="e">
        <f t="shared" si="82"/>
        <v>#DIV/0!</v>
      </c>
      <c r="BA23" s="87">
        <f t="shared" si="4"/>
        <v>0</v>
      </c>
      <c r="BB23" s="87">
        <f t="shared" si="4"/>
        <v>0</v>
      </c>
      <c r="BC23" s="88" t="e">
        <f t="shared" si="4"/>
        <v>#DIV/0!</v>
      </c>
      <c r="BD23" s="89">
        <f t="shared" ref="BD23:BF24" si="141">$Q23+$R23*AF$4+$S23*(AF$4^2)+$T23*(AF$4^3)</f>
        <v>0</v>
      </c>
      <c r="BE23" s="89">
        <f t="shared" si="141"/>
        <v>0</v>
      </c>
      <c r="BF23" s="90">
        <f t="shared" si="141"/>
        <v>0</v>
      </c>
      <c r="BG23" s="91">
        <f t="shared" si="83"/>
        <v>0</v>
      </c>
      <c r="BH23" s="91">
        <f t="shared" si="84"/>
        <v>0</v>
      </c>
      <c r="BI23" s="91">
        <f t="shared" si="85"/>
        <v>0</v>
      </c>
      <c r="BJ23" s="91">
        <f t="shared" si="86"/>
        <v>0</v>
      </c>
      <c r="BK23" s="91">
        <f t="shared" si="87"/>
        <v>0</v>
      </c>
      <c r="BL23" s="91">
        <f t="shared" si="88"/>
        <v>0</v>
      </c>
      <c r="BM23" s="91">
        <f t="shared" si="89"/>
        <v>0</v>
      </c>
      <c r="BN23" s="91">
        <f t="shared" si="90"/>
        <v>0</v>
      </c>
      <c r="BO23" s="91">
        <f t="shared" si="91"/>
        <v>0</v>
      </c>
      <c r="BP23" s="91">
        <f t="shared" si="92"/>
        <v>0</v>
      </c>
      <c r="BQ23" s="91">
        <f t="shared" si="93"/>
        <v>0</v>
      </c>
      <c r="BR23" s="91">
        <f t="shared" si="94"/>
        <v>0</v>
      </c>
      <c r="BS23" s="91">
        <f t="shared" si="95"/>
        <v>0</v>
      </c>
      <c r="BT23" s="91">
        <f t="shared" si="96"/>
        <v>0</v>
      </c>
      <c r="BU23" s="91">
        <f t="shared" si="97"/>
        <v>0</v>
      </c>
      <c r="BV23" s="91">
        <f t="shared" si="98"/>
        <v>0</v>
      </c>
      <c r="BW23" s="91">
        <f t="shared" si="99"/>
        <v>0</v>
      </c>
      <c r="BX23" s="90">
        <f t="shared" si="100"/>
        <v>0</v>
      </c>
      <c r="BY23" s="91">
        <f t="shared" si="101"/>
        <v>0</v>
      </c>
      <c r="BZ23" s="91">
        <f t="shared" si="102"/>
        <v>0</v>
      </c>
      <c r="CA23" s="91">
        <f t="shared" si="103"/>
        <v>0</v>
      </c>
      <c r="CB23" s="91">
        <f t="shared" si="104"/>
        <v>0</v>
      </c>
      <c r="CC23" s="91">
        <f t="shared" si="105"/>
        <v>0</v>
      </c>
      <c r="CD23" s="91">
        <f t="shared" si="106"/>
        <v>0</v>
      </c>
      <c r="CE23" s="91">
        <f t="shared" si="107"/>
        <v>0</v>
      </c>
      <c r="CF23" s="91">
        <f t="shared" si="108"/>
        <v>0</v>
      </c>
      <c r="CG23" s="91">
        <f t="shared" si="109"/>
        <v>0</v>
      </c>
      <c r="CH23" s="91">
        <f t="shared" si="110"/>
        <v>0</v>
      </c>
      <c r="CI23" s="91">
        <f t="shared" si="111"/>
        <v>0</v>
      </c>
      <c r="CJ23" s="91">
        <f t="shared" si="112"/>
        <v>0</v>
      </c>
      <c r="CK23" s="91">
        <f t="shared" si="113"/>
        <v>0</v>
      </c>
      <c r="CL23" s="91">
        <f t="shared" si="114"/>
        <v>0</v>
      </c>
      <c r="CM23" s="91">
        <f t="shared" si="115"/>
        <v>0</v>
      </c>
      <c r="CN23" s="91">
        <f t="shared" si="116"/>
        <v>0</v>
      </c>
      <c r="CO23" s="91">
        <f t="shared" si="117"/>
        <v>0</v>
      </c>
      <c r="CP23" s="90">
        <f t="shared" si="118"/>
        <v>0</v>
      </c>
      <c r="CQ23" s="106" t="e">
        <f t="shared" si="119"/>
        <v>#DIV/0!</v>
      </c>
      <c r="CR23" s="91" t="e">
        <f t="shared" si="120"/>
        <v>#DIV/0!</v>
      </c>
      <c r="CS23" s="91" t="e">
        <f t="shared" si="121"/>
        <v>#DIV/0!</v>
      </c>
      <c r="CT23" s="91" t="e">
        <f t="shared" si="122"/>
        <v>#DIV/0!</v>
      </c>
      <c r="CU23" s="91" t="e">
        <f t="shared" si="123"/>
        <v>#DIV/0!</v>
      </c>
      <c r="CV23" s="91" t="e">
        <f t="shared" si="124"/>
        <v>#DIV/0!</v>
      </c>
      <c r="CW23" s="91" t="e">
        <f t="shared" si="125"/>
        <v>#DIV/0!</v>
      </c>
      <c r="CX23" s="91" t="e">
        <f t="shared" si="126"/>
        <v>#DIV/0!</v>
      </c>
      <c r="CY23" s="91" t="e">
        <f t="shared" si="127"/>
        <v>#DIV/0!</v>
      </c>
      <c r="CZ23" s="91" t="e">
        <f t="shared" si="128"/>
        <v>#DIV/0!</v>
      </c>
      <c r="DA23" s="91" t="e">
        <f t="shared" si="129"/>
        <v>#DIV/0!</v>
      </c>
      <c r="DB23" s="91" t="e">
        <f t="shared" si="130"/>
        <v>#DIV/0!</v>
      </c>
      <c r="DC23" s="91" t="e">
        <f t="shared" si="131"/>
        <v>#DIV/0!</v>
      </c>
      <c r="DD23" s="91" t="e">
        <f t="shared" si="132"/>
        <v>#DIV/0!</v>
      </c>
      <c r="DE23" s="91" t="e">
        <f t="shared" si="133"/>
        <v>#DIV/0!</v>
      </c>
      <c r="DF23" s="91" t="e">
        <f t="shared" si="134"/>
        <v>#DIV/0!</v>
      </c>
      <c r="DG23" s="91" t="e">
        <f t="shared" si="135"/>
        <v>#DIV/0!</v>
      </c>
      <c r="DH23" s="92" t="e">
        <f t="shared" si="136"/>
        <v>#DIV/0!</v>
      </c>
      <c r="DI23" s="93">
        <f t="shared" si="137"/>
        <v>0</v>
      </c>
      <c r="DJ23" s="94">
        <f t="shared" si="6"/>
        <v>1</v>
      </c>
      <c r="DK23" s="95">
        <f t="shared" si="7"/>
        <v>0</v>
      </c>
      <c r="DL23" s="95">
        <f t="shared" si="138"/>
        <v>0</v>
      </c>
      <c r="DM23" s="95">
        <f t="shared" si="8"/>
        <v>0</v>
      </c>
      <c r="DN23" s="95">
        <f t="shared" si="139"/>
        <v>0</v>
      </c>
      <c r="DO23" s="95">
        <f t="shared" si="9"/>
        <v>0</v>
      </c>
      <c r="DP23" s="95">
        <f t="shared" si="140"/>
        <v>0</v>
      </c>
      <c r="DQ23" s="96">
        <f t="shared" si="10"/>
        <v>0</v>
      </c>
      <c r="DR23" s="96">
        <f t="shared" si="11"/>
        <v>0</v>
      </c>
      <c r="DS23" s="97">
        <f t="shared" si="12"/>
        <v>0</v>
      </c>
      <c r="DT23" s="107">
        <f t="shared" si="13"/>
        <v>0</v>
      </c>
      <c r="DU23" s="107">
        <f t="shared" si="14"/>
        <v>0</v>
      </c>
      <c r="DV23" s="107">
        <f t="shared" si="15"/>
        <v>0</v>
      </c>
      <c r="DW23" s="107">
        <f t="shared" si="16"/>
        <v>0</v>
      </c>
      <c r="DX23" s="107">
        <f t="shared" si="17"/>
        <v>0</v>
      </c>
      <c r="DY23" s="107">
        <f t="shared" si="18"/>
        <v>0</v>
      </c>
      <c r="DZ23" s="107">
        <f t="shared" si="19"/>
        <v>0</v>
      </c>
      <c r="EA23" s="107">
        <f t="shared" si="20"/>
        <v>0</v>
      </c>
      <c r="EB23" s="107">
        <f t="shared" si="21"/>
        <v>0</v>
      </c>
      <c r="EC23" s="107">
        <f t="shared" si="22"/>
        <v>0</v>
      </c>
      <c r="ED23" s="107">
        <f t="shared" si="23"/>
        <v>0</v>
      </c>
      <c r="EE23" s="107">
        <f t="shared" si="24"/>
        <v>0</v>
      </c>
      <c r="EF23" s="107">
        <f t="shared" si="25"/>
        <v>0</v>
      </c>
      <c r="EG23" s="107">
        <f t="shared" si="26"/>
        <v>0</v>
      </c>
      <c r="EH23" s="107">
        <f t="shared" si="27"/>
        <v>0</v>
      </c>
      <c r="EI23" s="107">
        <f t="shared" si="28"/>
        <v>0</v>
      </c>
      <c r="EJ23" s="107">
        <f t="shared" si="29"/>
        <v>0</v>
      </c>
      <c r="EK23" s="99">
        <f t="shared" si="30"/>
        <v>0</v>
      </c>
      <c r="EL23" s="107">
        <f t="shared" si="31"/>
        <v>0</v>
      </c>
      <c r="EM23" s="107">
        <f t="shared" si="32"/>
        <v>0</v>
      </c>
      <c r="EN23" s="107">
        <f t="shared" si="33"/>
        <v>0</v>
      </c>
      <c r="EO23" s="107">
        <f t="shared" si="34"/>
        <v>0</v>
      </c>
      <c r="EP23" s="107">
        <f t="shared" si="35"/>
        <v>0</v>
      </c>
      <c r="EQ23" s="107">
        <f t="shared" si="36"/>
        <v>0</v>
      </c>
      <c r="ER23" s="107">
        <f t="shared" si="37"/>
        <v>0</v>
      </c>
      <c r="ES23" s="107">
        <f t="shared" si="38"/>
        <v>0</v>
      </c>
      <c r="ET23" s="107">
        <f t="shared" si="39"/>
        <v>0</v>
      </c>
      <c r="EU23" s="107">
        <f t="shared" si="40"/>
        <v>0</v>
      </c>
      <c r="EV23" s="107">
        <f t="shared" si="41"/>
        <v>0</v>
      </c>
      <c r="EW23" s="107">
        <f t="shared" si="42"/>
        <v>0</v>
      </c>
      <c r="EX23" s="107">
        <f t="shared" si="43"/>
        <v>0</v>
      </c>
      <c r="EY23" s="107">
        <f t="shared" si="44"/>
        <v>0</v>
      </c>
      <c r="EZ23" s="107">
        <f t="shared" si="45"/>
        <v>0</v>
      </c>
      <c r="FA23" s="107">
        <f t="shared" si="46"/>
        <v>0</v>
      </c>
      <c r="FB23" s="107">
        <f t="shared" si="47"/>
        <v>0</v>
      </c>
      <c r="FC23" s="107">
        <f t="shared" si="48"/>
        <v>0</v>
      </c>
      <c r="FD23" s="100" t="e">
        <f t="shared" si="49"/>
        <v>#DIV/0!</v>
      </c>
      <c r="FE23" s="107" t="e">
        <f t="shared" si="50"/>
        <v>#DIV/0!</v>
      </c>
      <c r="FF23" s="107" t="e">
        <f t="shared" si="51"/>
        <v>#DIV/0!</v>
      </c>
      <c r="FG23" s="107" t="e">
        <f t="shared" si="52"/>
        <v>#DIV/0!</v>
      </c>
      <c r="FH23" s="107" t="e">
        <f t="shared" si="53"/>
        <v>#DIV/0!</v>
      </c>
      <c r="FI23" s="107" t="e">
        <f t="shared" si="54"/>
        <v>#DIV/0!</v>
      </c>
      <c r="FJ23" s="107" t="e">
        <f t="shared" si="55"/>
        <v>#DIV/0!</v>
      </c>
      <c r="FK23" s="107" t="e">
        <f t="shared" si="56"/>
        <v>#DIV/0!</v>
      </c>
      <c r="FL23" s="107" t="e">
        <f t="shared" si="57"/>
        <v>#DIV/0!</v>
      </c>
      <c r="FM23" s="107" t="e">
        <f t="shared" si="58"/>
        <v>#DIV/0!</v>
      </c>
      <c r="FN23" s="107" t="e">
        <f t="shared" si="59"/>
        <v>#DIV/0!</v>
      </c>
      <c r="FO23" s="107" t="e">
        <f t="shared" si="60"/>
        <v>#DIV/0!</v>
      </c>
      <c r="FP23" s="107" t="e">
        <f t="shared" si="61"/>
        <v>#DIV/0!</v>
      </c>
      <c r="FQ23" s="107" t="e">
        <f t="shared" si="62"/>
        <v>#DIV/0!</v>
      </c>
      <c r="FR23" s="107" t="e">
        <f t="shared" si="63"/>
        <v>#DIV/0!</v>
      </c>
      <c r="FS23" s="107" t="e">
        <f t="shared" si="64"/>
        <v>#DIV/0!</v>
      </c>
      <c r="FT23" s="107" t="e">
        <f t="shared" si="65"/>
        <v>#DIV/0!</v>
      </c>
      <c r="FU23" s="107" t="e">
        <f t="shared" si="66"/>
        <v>#DIV/0!</v>
      </c>
      <c r="FV23" s="101">
        <f>IF(B23='Process DB'!$D$27,IF(AB23&gt;$FX$4,1,0),0)</f>
        <v>0</v>
      </c>
      <c r="FW23" s="50">
        <f>IF(B23='Process DB'!$D$27,IF(AC23&gt;$FX$4,1,0),0)</f>
        <v>0</v>
      </c>
      <c r="FX23" s="50">
        <f>IF(B23='Process DB'!$D$27,IF(AD23&gt;$FX$4,1,0),0)</f>
        <v>0</v>
      </c>
      <c r="FY23" s="41"/>
      <c r="GB23" s="101">
        <f>IF(GB$7&gt;0,IF(B23='Process DB'!$D$13,IF(AB23&gt;$GD$4,1,0),0),0)</f>
        <v>0</v>
      </c>
      <c r="GC23" s="102">
        <f>IF(GC$7&gt;0,IF(B23='Process DB'!$D$13,IF(AC23&gt;$GD$4,1,0),0),0)</f>
        <v>0</v>
      </c>
      <c r="GD23" s="102" t="e">
        <f>IF(GD$7&gt;0,IF(B23='Process DB'!$D$13,IF(AD23&gt;$GD$4,1,0),0),0)</f>
        <v>#DIV/0!</v>
      </c>
      <c r="GE23" s="103">
        <f t="shared" si="67"/>
        <v>0</v>
      </c>
      <c r="GF23" s="78">
        <f t="shared" si="67"/>
        <v>0</v>
      </c>
    </row>
    <row r="24" spans="2:189" ht="15" customHeight="1">
      <c r="B24" s="19" t="str">
        <f>VLOOKUP('Process DS'!$D23,'Process DB'!$C$7:$AA$41,B$4)</f>
        <v>-</v>
      </c>
      <c r="C24" s="17">
        <f>VLOOKUP('Process DS'!$D23,'Process DB'!$C$7:$AA$41,C$4)</f>
        <v>0</v>
      </c>
      <c r="D24" s="18">
        <f>VLOOKUP('Process DS'!$D23,'Process DB'!$C$7:$AA$41,D$4)</f>
        <v>0</v>
      </c>
      <c r="E24" s="19">
        <f>VLOOKUP('Process DS'!$D23,'Process DB'!$C$7:$AA$41,E$4)</f>
        <v>0</v>
      </c>
      <c r="F24" s="19">
        <f>VLOOKUP('Process DS'!$D23,'Process DB'!$C$7:$AA$41,F$4)</f>
        <v>0</v>
      </c>
      <c r="G24" s="20">
        <f>VLOOKUP('Process DS'!$D23,'Process DB'!$C$7:$AA$41,G$4)</f>
        <v>0</v>
      </c>
      <c r="H24" s="20">
        <f>VLOOKUP('Process DS'!$D23,'Process DB'!$C$7:$AA$41,H$4)</f>
        <v>0</v>
      </c>
      <c r="I24" s="21">
        <f>VLOOKUP('Process DS'!$D23,'Process DB'!$C$7:$AA$41,I$4)</f>
        <v>0</v>
      </c>
      <c r="J24" s="14">
        <f>VLOOKUP('Process DS'!$D23,'Process DB'!$C$7:$AA$41,J$4)</f>
        <v>0</v>
      </c>
      <c r="K24" s="14">
        <f>VLOOKUP('Process DS'!$D23,'Process DB'!$C$7:$AA$41,K$4)</f>
        <v>0</v>
      </c>
      <c r="L24" s="21">
        <f>VLOOKUP('Process DS'!$D23,'Process DB'!$C$7:$AA$41,L$4)</f>
        <v>0</v>
      </c>
      <c r="M24" s="14">
        <f>VLOOKUP('Process DS'!$D23,'Process DB'!$C$7:$AA$41,M$4)</f>
        <v>0</v>
      </c>
      <c r="N24" s="15">
        <f>VLOOKUP('Process DS'!$D23,'Process DB'!$C$7:$AA$41,N$4)</f>
        <v>0</v>
      </c>
      <c r="O24" s="15">
        <f>VLOOKUP('Process DS'!$D23,'Process DB'!$C$7:$AA$41,O$4)</f>
        <v>0</v>
      </c>
      <c r="P24" s="15">
        <f>VLOOKUP('Process DS'!$D23,'Process DB'!$C$7:$AA$41,P$4)</f>
        <v>0</v>
      </c>
      <c r="Q24" s="15">
        <f>VLOOKUP('Process DS'!$D23,'Process DB'!$C$7:$AA$41,Q$4)</f>
        <v>0</v>
      </c>
      <c r="R24" s="15">
        <f>VLOOKUP('Process DS'!$D23,'Process DB'!$C$7:$AA$41,R$4)</f>
        <v>0</v>
      </c>
      <c r="S24" s="15">
        <f>VLOOKUP('Process DS'!$D23,'Process DB'!$C$7:$AA$41,S$4)</f>
        <v>0</v>
      </c>
      <c r="T24" s="15">
        <f>VLOOKUP('Process DS'!$D23,'Process DB'!$C$7:$AA$41,T$4)</f>
        <v>0</v>
      </c>
      <c r="U24" s="17">
        <f>VLOOKUP('Process DS'!$D23,'Process DB'!$C$7:$AA$41,U$4)</f>
        <v>0</v>
      </c>
      <c r="V24" s="12">
        <f>VLOOKUP('Process DS'!$D23,'Process DB'!$C$7:$AA$41,V$4)</f>
        <v>0</v>
      </c>
      <c r="W24" s="15">
        <f>VLOOKUP('Process DS'!$D23,'Process DB'!$C$7:$AA$41,W$4)</f>
        <v>0</v>
      </c>
      <c r="X24" s="15">
        <f>VLOOKUP('Process DS'!$D23,'Process DB'!$C$7:$AA$41,X$4)</f>
        <v>0</v>
      </c>
      <c r="Y24" s="15">
        <f>VLOOKUP('Process DS'!$D23,'Process DB'!$C$7:$AA$41,Y$4)</f>
        <v>0</v>
      </c>
      <c r="Z24" s="17"/>
      <c r="AB24" s="76">
        <f t="shared" si="1"/>
        <v>0</v>
      </c>
      <c r="AC24" s="77">
        <f t="shared" si="68"/>
        <v>0</v>
      </c>
      <c r="AD24" s="76" t="e">
        <f t="shared" si="69"/>
        <v>#DIV/0!</v>
      </c>
      <c r="AF24" s="108">
        <f t="shared" si="2"/>
        <v>0</v>
      </c>
      <c r="AG24" s="108">
        <f t="shared" si="2"/>
        <v>0</v>
      </c>
      <c r="AH24" s="109" t="e">
        <f t="shared" si="2"/>
        <v>#DIV/0!</v>
      </c>
      <c r="AI24" s="80">
        <f t="shared" si="70"/>
        <v>0</v>
      </c>
      <c r="AJ24" s="80">
        <f t="shared" si="70"/>
        <v>0</v>
      </c>
      <c r="AK24" s="81" t="e">
        <f t="shared" si="70"/>
        <v>#DIV/0!</v>
      </c>
      <c r="AL24" s="110">
        <f t="shared" si="71"/>
        <v>0</v>
      </c>
      <c r="AM24" s="111">
        <f t="shared" si="71"/>
        <v>0</v>
      </c>
      <c r="AN24" s="112" t="e">
        <f t="shared" si="71"/>
        <v>#DIV/0!</v>
      </c>
      <c r="AO24" s="113">
        <f t="shared" si="72"/>
        <v>0</v>
      </c>
      <c r="AP24" s="113">
        <f t="shared" si="73"/>
        <v>0</v>
      </c>
      <c r="AQ24" s="113">
        <f t="shared" si="74"/>
        <v>0</v>
      </c>
      <c r="AR24" s="113">
        <f t="shared" si="75"/>
        <v>0</v>
      </c>
      <c r="AS24" s="113" t="e">
        <f t="shared" si="76"/>
        <v>#DIV/0!</v>
      </c>
      <c r="AT24" s="85" t="e">
        <f t="shared" si="77"/>
        <v>#DIV/0!</v>
      </c>
      <c r="AU24" s="83">
        <f t="shared" si="78"/>
        <v>0</v>
      </c>
      <c r="AV24" s="83">
        <f t="shared" si="79"/>
        <v>0</v>
      </c>
      <c r="AW24" s="83">
        <f t="shared" si="3"/>
        <v>0</v>
      </c>
      <c r="AX24" s="83">
        <f t="shared" si="80"/>
        <v>0</v>
      </c>
      <c r="AY24" s="113" t="e">
        <f t="shared" si="81"/>
        <v>#DIV/0!</v>
      </c>
      <c r="AZ24" s="114" t="e">
        <f t="shared" si="82"/>
        <v>#DIV/0!</v>
      </c>
      <c r="BA24" s="115">
        <f t="shared" si="4"/>
        <v>0</v>
      </c>
      <c r="BB24" s="115">
        <f t="shared" si="4"/>
        <v>0</v>
      </c>
      <c r="BC24" s="116" t="e">
        <f t="shared" si="4"/>
        <v>#DIV/0!</v>
      </c>
      <c r="BD24" s="117">
        <f t="shared" si="141"/>
        <v>0</v>
      </c>
      <c r="BE24" s="118">
        <f t="shared" si="141"/>
        <v>0</v>
      </c>
      <c r="BF24" s="119">
        <f t="shared" si="141"/>
        <v>0</v>
      </c>
      <c r="BG24" s="118">
        <f t="shared" si="83"/>
        <v>0</v>
      </c>
      <c r="BH24" s="118">
        <f t="shared" si="84"/>
        <v>0</v>
      </c>
      <c r="BI24" s="118">
        <f t="shared" si="85"/>
        <v>0</v>
      </c>
      <c r="BJ24" s="118">
        <f t="shared" si="86"/>
        <v>0</v>
      </c>
      <c r="BK24" s="118">
        <f t="shared" si="87"/>
        <v>0</v>
      </c>
      <c r="BL24" s="118">
        <f t="shared" si="88"/>
        <v>0</v>
      </c>
      <c r="BM24" s="118">
        <f t="shared" si="89"/>
        <v>0</v>
      </c>
      <c r="BN24" s="118">
        <f t="shared" si="90"/>
        <v>0</v>
      </c>
      <c r="BO24" s="118">
        <f t="shared" si="91"/>
        <v>0</v>
      </c>
      <c r="BP24" s="118">
        <f t="shared" si="92"/>
        <v>0</v>
      </c>
      <c r="BQ24" s="118">
        <f t="shared" si="93"/>
        <v>0</v>
      </c>
      <c r="BR24" s="118">
        <f t="shared" si="94"/>
        <v>0</v>
      </c>
      <c r="BS24" s="118">
        <f t="shared" si="95"/>
        <v>0</v>
      </c>
      <c r="BT24" s="118">
        <f t="shared" si="96"/>
        <v>0</v>
      </c>
      <c r="BU24" s="118">
        <f t="shared" si="97"/>
        <v>0</v>
      </c>
      <c r="BV24" s="118">
        <f t="shared" si="98"/>
        <v>0</v>
      </c>
      <c r="BW24" s="118">
        <f t="shared" si="99"/>
        <v>0</v>
      </c>
      <c r="BX24" s="119">
        <f t="shared" si="100"/>
        <v>0</v>
      </c>
      <c r="BY24" s="118">
        <f t="shared" si="101"/>
        <v>0</v>
      </c>
      <c r="BZ24" s="118">
        <f t="shared" si="102"/>
        <v>0</v>
      </c>
      <c r="CA24" s="118">
        <f t="shared" si="103"/>
        <v>0</v>
      </c>
      <c r="CB24" s="118">
        <f t="shared" si="104"/>
        <v>0</v>
      </c>
      <c r="CC24" s="118">
        <f t="shared" si="105"/>
        <v>0</v>
      </c>
      <c r="CD24" s="118">
        <f t="shared" si="106"/>
        <v>0</v>
      </c>
      <c r="CE24" s="118">
        <f t="shared" si="107"/>
        <v>0</v>
      </c>
      <c r="CF24" s="118">
        <f t="shared" si="108"/>
        <v>0</v>
      </c>
      <c r="CG24" s="118">
        <f t="shared" si="109"/>
        <v>0</v>
      </c>
      <c r="CH24" s="118">
        <f t="shared" si="110"/>
        <v>0</v>
      </c>
      <c r="CI24" s="118">
        <f t="shared" si="111"/>
        <v>0</v>
      </c>
      <c r="CJ24" s="118">
        <f t="shared" si="112"/>
        <v>0</v>
      </c>
      <c r="CK24" s="118">
        <f t="shared" si="113"/>
        <v>0</v>
      </c>
      <c r="CL24" s="118">
        <f t="shared" si="114"/>
        <v>0</v>
      </c>
      <c r="CM24" s="118">
        <f t="shared" si="115"/>
        <v>0</v>
      </c>
      <c r="CN24" s="118">
        <f t="shared" si="116"/>
        <v>0</v>
      </c>
      <c r="CO24" s="118">
        <f t="shared" si="117"/>
        <v>0</v>
      </c>
      <c r="CP24" s="119">
        <f t="shared" si="118"/>
        <v>0</v>
      </c>
      <c r="CQ24" s="120" t="e">
        <f t="shared" si="119"/>
        <v>#DIV/0!</v>
      </c>
      <c r="CR24" s="118" t="e">
        <f t="shared" si="120"/>
        <v>#DIV/0!</v>
      </c>
      <c r="CS24" s="118" t="e">
        <f t="shared" si="121"/>
        <v>#DIV/0!</v>
      </c>
      <c r="CT24" s="118" t="e">
        <f t="shared" si="122"/>
        <v>#DIV/0!</v>
      </c>
      <c r="CU24" s="118" t="e">
        <f t="shared" si="123"/>
        <v>#DIV/0!</v>
      </c>
      <c r="CV24" s="118" t="e">
        <f t="shared" si="124"/>
        <v>#DIV/0!</v>
      </c>
      <c r="CW24" s="118" t="e">
        <f t="shared" si="125"/>
        <v>#DIV/0!</v>
      </c>
      <c r="CX24" s="118" t="e">
        <f t="shared" si="126"/>
        <v>#DIV/0!</v>
      </c>
      <c r="CY24" s="118" t="e">
        <f t="shared" si="127"/>
        <v>#DIV/0!</v>
      </c>
      <c r="CZ24" s="118" t="e">
        <f t="shared" si="128"/>
        <v>#DIV/0!</v>
      </c>
      <c r="DA24" s="118" t="e">
        <f t="shared" si="129"/>
        <v>#DIV/0!</v>
      </c>
      <c r="DB24" s="118" t="e">
        <f t="shared" si="130"/>
        <v>#DIV/0!</v>
      </c>
      <c r="DC24" s="118" t="e">
        <f t="shared" si="131"/>
        <v>#DIV/0!</v>
      </c>
      <c r="DD24" s="118" t="e">
        <f t="shared" si="132"/>
        <v>#DIV/0!</v>
      </c>
      <c r="DE24" s="118" t="e">
        <f t="shared" si="133"/>
        <v>#DIV/0!</v>
      </c>
      <c r="DF24" s="118" t="e">
        <f t="shared" si="134"/>
        <v>#DIV/0!</v>
      </c>
      <c r="DG24" s="118" t="e">
        <f t="shared" si="135"/>
        <v>#DIV/0!</v>
      </c>
      <c r="DH24" s="121" t="e">
        <f t="shared" si="136"/>
        <v>#DIV/0!</v>
      </c>
      <c r="DI24" s="122">
        <f t="shared" si="137"/>
        <v>0</v>
      </c>
      <c r="DJ24" s="123">
        <f t="shared" si="6"/>
        <v>1</v>
      </c>
      <c r="DK24" s="124">
        <f t="shared" si="7"/>
        <v>0</v>
      </c>
      <c r="DL24" s="124">
        <f t="shared" si="138"/>
        <v>0</v>
      </c>
      <c r="DM24" s="124">
        <f t="shared" si="8"/>
        <v>0</v>
      </c>
      <c r="DN24" s="124">
        <f t="shared" si="139"/>
        <v>0</v>
      </c>
      <c r="DO24" s="124">
        <f t="shared" si="9"/>
        <v>0</v>
      </c>
      <c r="DP24" s="124">
        <f t="shared" si="140"/>
        <v>0</v>
      </c>
      <c r="DQ24" s="125">
        <f t="shared" si="10"/>
        <v>0</v>
      </c>
      <c r="DR24" s="125">
        <f t="shared" si="11"/>
        <v>0</v>
      </c>
      <c r="DS24" s="126">
        <f t="shared" si="12"/>
        <v>0</v>
      </c>
      <c r="DT24" s="127">
        <f t="shared" si="13"/>
        <v>0</v>
      </c>
      <c r="DU24" s="127">
        <f t="shared" si="14"/>
        <v>0</v>
      </c>
      <c r="DV24" s="127">
        <f t="shared" si="15"/>
        <v>0</v>
      </c>
      <c r="DW24" s="127">
        <f t="shared" si="16"/>
        <v>0</v>
      </c>
      <c r="DX24" s="127">
        <f t="shared" si="17"/>
        <v>0</v>
      </c>
      <c r="DY24" s="127">
        <f t="shared" si="18"/>
        <v>0</v>
      </c>
      <c r="DZ24" s="127">
        <f t="shared" si="19"/>
        <v>0</v>
      </c>
      <c r="EA24" s="127">
        <f t="shared" si="20"/>
        <v>0</v>
      </c>
      <c r="EB24" s="127">
        <f t="shared" si="21"/>
        <v>0</v>
      </c>
      <c r="EC24" s="127">
        <f t="shared" si="22"/>
        <v>0</v>
      </c>
      <c r="ED24" s="127">
        <f t="shared" si="23"/>
        <v>0</v>
      </c>
      <c r="EE24" s="127">
        <f t="shared" si="24"/>
        <v>0</v>
      </c>
      <c r="EF24" s="127">
        <f t="shared" si="25"/>
        <v>0</v>
      </c>
      <c r="EG24" s="127">
        <f t="shared" si="26"/>
        <v>0</v>
      </c>
      <c r="EH24" s="127">
        <f t="shared" si="27"/>
        <v>0</v>
      </c>
      <c r="EI24" s="127">
        <f t="shared" si="28"/>
        <v>0</v>
      </c>
      <c r="EJ24" s="127">
        <f t="shared" si="29"/>
        <v>0</v>
      </c>
      <c r="EK24" s="128">
        <f t="shared" si="30"/>
        <v>0</v>
      </c>
      <c r="EL24" s="127">
        <f t="shared" si="31"/>
        <v>0</v>
      </c>
      <c r="EM24" s="127">
        <f t="shared" si="32"/>
        <v>0</v>
      </c>
      <c r="EN24" s="127">
        <f t="shared" si="33"/>
        <v>0</v>
      </c>
      <c r="EO24" s="127">
        <f t="shared" si="34"/>
        <v>0</v>
      </c>
      <c r="EP24" s="127">
        <f t="shared" si="35"/>
        <v>0</v>
      </c>
      <c r="EQ24" s="127">
        <f t="shared" si="36"/>
        <v>0</v>
      </c>
      <c r="ER24" s="127">
        <f t="shared" si="37"/>
        <v>0</v>
      </c>
      <c r="ES24" s="127">
        <f t="shared" si="38"/>
        <v>0</v>
      </c>
      <c r="ET24" s="127">
        <f t="shared" si="39"/>
        <v>0</v>
      </c>
      <c r="EU24" s="127">
        <f t="shared" si="40"/>
        <v>0</v>
      </c>
      <c r="EV24" s="127">
        <f t="shared" si="41"/>
        <v>0</v>
      </c>
      <c r="EW24" s="127">
        <f t="shared" si="42"/>
        <v>0</v>
      </c>
      <c r="EX24" s="127">
        <f t="shared" si="43"/>
        <v>0</v>
      </c>
      <c r="EY24" s="127">
        <f t="shared" si="44"/>
        <v>0</v>
      </c>
      <c r="EZ24" s="127">
        <f t="shared" si="45"/>
        <v>0</v>
      </c>
      <c r="FA24" s="127">
        <f t="shared" si="46"/>
        <v>0</v>
      </c>
      <c r="FB24" s="127">
        <f t="shared" si="47"/>
        <v>0</v>
      </c>
      <c r="FC24" s="127">
        <f t="shared" si="48"/>
        <v>0</v>
      </c>
      <c r="FD24" s="129" t="e">
        <f t="shared" si="49"/>
        <v>#DIV/0!</v>
      </c>
      <c r="FE24" s="127" t="e">
        <f t="shared" si="50"/>
        <v>#DIV/0!</v>
      </c>
      <c r="FF24" s="127" t="e">
        <f t="shared" si="51"/>
        <v>#DIV/0!</v>
      </c>
      <c r="FG24" s="127" t="e">
        <f t="shared" si="52"/>
        <v>#DIV/0!</v>
      </c>
      <c r="FH24" s="127" t="e">
        <f t="shared" si="53"/>
        <v>#DIV/0!</v>
      </c>
      <c r="FI24" s="127" t="e">
        <f t="shared" si="54"/>
        <v>#DIV/0!</v>
      </c>
      <c r="FJ24" s="127" t="e">
        <f t="shared" si="55"/>
        <v>#DIV/0!</v>
      </c>
      <c r="FK24" s="127" t="e">
        <f t="shared" si="56"/>
        <v>#DIV/0!</v>
      </c>
      <c r="FL24" s="127" t="e">
        <f t="shared" si="57"/>
        <v>#DIV/0!</v>
      </c>
      <c r="FM24" s="127" t="e">
        <f t="shared" si="58"/>
        <v>#DIV/0!</v>
      </c>
      <c r="FN24" s="127" t="e">
        <f t="shared" si="59"/>
        <v>#DIV/0!</v>
      </c>
      <c r="FO24" s="127" t="e">
        <f t="shared" si="60"/>
        <v>#DIV/0!</v>
      </c>
      <c r="FP24" s="127" t="e">
        <f t="shared" si="61"/>
        <v>#DIV/0!</v>
      </c>
      <c r="FQ24" s="127" t="e">
        <f t="shared" si="62"/>
        <v>#DIV/0!</v>
      </c>
      <c r="FR24" s="127" t="e">
        <f t="shared" si="63"/>
        <v>#DIV/0!</v>
      </c>
      <c r="FS24" s="127" t="e">
        <f t="shared" si="64"/>
        <v>#DIV/0!</v>
      </c>
      <c r="FT24" s="127" t="e">
        <f t="shared" si="65"/>
        <v>#DIV/0!</v>
      </c>
      <c r="FU24" s="127" t="e">
        <f t="shared" si="66"/>
        <v>#DIV/0!</v>
      </c>
      <c r="FV24" s="130">
        <f>IF(B24='Process DB'!$D$27,IF(AB24&gt;$FX$4,1,0),0)</f>
        <v>0</v>
      </c>
      <c r="FW24" s="131">
        <f>IF(B24='Process DB'!$D$27,IF(AC24&gt;$FX$4,1,0),0)</f>
        <v>0</v>
      </c>
      <c r="FX24" s="132">
        <f>IF(B24='Process DB'!$D$27,IF(AD24&gt;$FX$4,1,0),0)</f>
        <v>0</v>
      </c>
      <c r="FY24" s="133"/>
      <c r="FZ24" s="134"/>
      <c r="GA24" s="134"/>
      <c r="GB24" s="130">
        <f>IF(GB$7&gt;0,IF(B24='Process DB'!$D$13,IF(AB24&gt;$GD$4,1,0),0),0)</f>
        <v>0</v>
      </c>
      <c r="GC24" s="131">
        <f>IF(GC$7&gt;0,IF(B24='Process DB'!$D$13,IF(AC24&gt;$GD$4,1,0),0),0)</f>
        <v>0</v>
      </c>
      <c r="GD24" s="131" t="e">
        <f>IF(GD$7&gt;0,IF(B24='Process DB'!$D$13,IF(AD24&gt;$GD$4,1,0),0),0)</f>
        <v>#DIV/0!</v>
      </c>
      <c r="GE24" s="103">
        <f t="shared" si="67"/>
        <v>0</v>
      </c>
      <c r="GF24" s="78">
        <f t="shared" si="67"/>
        <v>0</v>
      </c>
    </row>
    <row r="25" spans="2:189" ht="15" customHeight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4" t="s">
        <v>273</v>
      </c>
      <c r="AF25" s="135">
        <f>SUM(AF7:AF24)</f>
        <v>4.0026248119000005</v>
      </c>
      <c r="AG25" s="135">
        <f>SUM(AG7:AG24)</f>
        <v>44.002377858394127</v>
      </c>
      <c r="AH25" s="136" t="e">
        <f>SUM(AH7:AH24)</f>
        <v>#DIV/0!</v>
      </c>
      <c r="AI25" s="135">
        <f t="shared" ref="AI25:AN25" si="142">SUM(AI7:AI24)</f>
        <v>1.4311240000000001E-4</v>
      </c>
      <c r="AJ25" s="135">
        <f t="shared" si="142"/>
        <v>1.6511829704146483E-2</v>
      </c>
      <c r="AK25" s="136" t="e">
        <f t="shared" si="142"/>
        <v>#DIV/0!</v>
      </c>
      <c r="AL25" s="135">
        <f t="shared" si="142"/>
        <v>1.2299146820000001E-4</v>
      </c>
      <c r="AM25" s="135">
        <f t="shared" si="142"/>
        <v>1.6385398389570861E-2</v>
      </c>
      <c r="AN25" s="136" t="e">
        <f t="shared" si="142"/>
        <v>#DIV/0!</v>
      </c>
      <c r="AO25" s="137">
        <f>100*SUM(AO7:AO24)</f>
        <v>0</v>
      </c>
      <c r="AP25" s="137">
        <f>SUM(AP7:AP24)</f>
        <v>0</v>
      </c>
      <c r="AQ25" s="137">
        <f>100*SUM(AQ7:AQ24)</f>
        <v>0</v>
      </c>
      <c r="AR25" s="137">
        <f>SUM(AR7:AR24)</f>
        <v>0</v>
      </c>
      <c r="AS25" s="137" t="e">
        <f>100*SUM(AS7:AS24)</f>
        <v>#DIV/0!</v>
      </c>
      <c r="AT25" s="137" t="e">
        <f>SUM(AT7:AT24)</f>
        <v>#DIV/0!</v>
      </c>
      <c r="AU25" s="138">
        <f>100*SUM(AU7:AU24)</f>
        <v>0</v>
      </c>
      <c r="AV25" s="137">
        <f>SUM(AV7:AV24)</f>
        <v>0</v>
      </c>
      <c r="AW25" s="137">
        <f>100*SUM(AW7:AW24)</f>
        <v>0</v>
      </c>
      <c r="AX25" s="137">
        <f>SUM(AX7:AX24)</f>
        <v>0</v>
      </c>
      <c r="AY25" s="137" t="e">
        <f>100*SUM(AY7:AY24)</f>
        <v>#DIV/0!</v>
      </c>
      <c r="AZ25" s="139" t="e">
        <f>SUM(AZ7:AZ24)</f>
        <v>#DIV/0!</v>
      </c>
      <c r="BA25" s="135">
        <f>SUM(BA7:BA24)</f>
        <v>20.800010683927201</v>
      </c>
      <c r="BB25" s="135">
        <f>SUM(BB7:BB24)</f>
        <v>36.155809053851364</v>
      </c>
      <c r="BC25" s="136" t="e">
        <f>SUM(BC7:BC24)</f>
        <v>#DIV/0!</v>
      </c>
      <c r="BF25" s="38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8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8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6"/>
      <c r="DS25" s="38"/>
      <c r="EK25" s="38"/>
      <c r="FD25" s="40"/>
      <c r="FV25" s="41"/>
      <c r="FY25" s="41"/>
      <c r="GB25" s="41"/>
      <c r="GE25" s="140">
        <f>SUM(GE7:GE24)</f>
        <v>-80.888930528362764</v>
      </c>
      <c r="GF25" s="141">
        <f>SUM(GF7:GF24)</f>
        <v>-814.77239619527347</v>
      </c>
      <c r="GG25" s="142"/>
    </row>
    <row r="26" spans="2:189" ht="15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47" t="s">
        <v>274</v>
      </c>
      <c r="AF26" s="78">
        <f>AF25/$AF$2</f>
        <v>0.13821218273135361</v>
      </c>
      <c r="AG26" s="78">
        <f>AG25/$AF$2</f>
        <v>1.5194191249445486</v>
      </c>
      <c r="AH26" s="143" t="e">
        <f>AH25/$AF$2</f>
        <v>#DIV/0!</v>
      </c>
      <c r="AK26" s="36"/>
      <c r="AL26" s="39"/>
      <c r="AM26" s="39"/>
      <c r="AN26" s="36"/>
      <c r="AS26" s="39"/>
      <c r="AT26" s="36"/>
      <c r="AU26" s="39"/>
      <c r="AV26" s="39"/>
      <c r="AW26" s="39"/>
      <c r="AX26" s="39"/>
      <c r="AY26" s="39"/>
      <c r="AZ26" s="36"/>
      <c r="BC26" s="36"/>
      <c r="BF26" s="38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8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8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6"/>
      <c r="DS26" s="38"/>
      <c r="EK26" s="38"/>
      <c r="FD26" s="40"/>
      <c r="FV26" s="41"/>
      <c r="FY26" s="41"/>
      <c r="GB26" s="41"/>
      <c r="GE26" s="41"/>
    </row>
    <row r="27" spans="2:189" ht="15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 t="s">
        <v>275</v>
      </c>
      <c r="AF27" s="144">
        <f>AF3*100000*AF25/1000/$B$2/AF4</f>
        <v>0.50415560063677534</v>
      </c>
      <c r="AG27" s="144">
        <f>AG3*100000*AG25/1000/$B$2/AG4</f>
        <v>5.9106236366504774</v>
      </c>
      <c r="AH27" s="145" t="e">
        <f>AH3*100000*AH25/1000/$B$2/AH4</f>
        <v>#DIV/0!</v>
      </c>
      <c r="AI27" s="34"/>
      <c r="AK27" s="36"/>
      <c r="AL27" s="39"/>
      <c r="AM27" s="39"/>
      <c r="AN27" s="36"/>
      <c r="AS27" s="39"/>
      <c r="AT27" s="36"/>
      <c r="AU27" s="39"/>
      <c r="AV27" s="39"/>
      <c r="AW27" s="39"/>
      <c r="AX27" s="39"/>
      <c r="AY27" s="39"/>
      <c r="AZ27" s="36"/>
      <c r="BC27" s="36"/>
      <c r="BF27" s="38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8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8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6"/>
      <c r="DS27" s="38"/>
      <c r="EK27" s="38"/>
      <c r="FD27" s="40"/>
      <c r="FV27" s="41"/>
      <c r="FY27" s="41"/>
      <c r="GB27" s="41"/>
      <c r="GE27" s="101" t="s">
        <v>276</v>
      </c>
      <c r="GF27" s="50" t="s">
        <v>277</v>
      </c>
      <c r="GG27" s="50" t="s">
        <v>278</v>
      </c>
    </row>
    <row r="28" spans="2:189" ht="15" customHeight="1">
      <c r="B28" s="33" t="s">
        <v>279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4" t="s">
        <v>280</v>
      </c>
      <c r="AF28" s="144">
        <f>AF27*0.06242796</f>
        <v>3.1473405670328587E-2</v>
      </c>
      <c r="AG28" s="144">
        <f>AG27*0.06242796</f>
        <v>0.36898817596387051</v>
      </c>
      <c r="AH28" s="145" t="e">
        <f>AH27*0.06242796</f>
        <v>#DIV/0!</v>
      </c>
      <c r="AI28" s="34"/>
      <c r="AK28" s="36"/>
      <c r="AL28" s="39"/>
      <c r="AM28" s="39"/>
      <c r="AN28" s="36"/>
      <c r="AS28" s="39"/>
      <c r="AT28" s="36"/>
      <c r="AU28" s="39"/>
      <c r="AV28" s="39"/>
      <c r="AW28" s="39"/>
      <c r="AX28" s="39"/>
      <c r="AY28" s="39"/>
      <c r="AZ28" s="36"/>
      <c r="BC28" s="36"/>
      <c r="BF28" s="38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8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8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6"/>
      <c r="DS28" s="38"/>
      <c r="EK28" s="38"/>
      <c r="FD28" s="40"/>
      <c r="FV28" s="41"/>
      <c r="FY28" s="41"/>
      <c r="GB28" s="41"/>
      <c r="GE28" s="101" t="s">
        <v>9</v>
      </c>
      <c r="GF28" s="102" t="s">
        <v>9</v>
      </c>
      <c r="GG28" s="50" t="s">
        <v>9</v>
      </c>
    </row>
    <row r="29" spans="2:189" ht="15" customHeight="1">
      <c r="B29" s="146">
        <f>1-'Process DS'!AE3/647.3</f>
        <v>0.54540226925519686</v>
      </c>
      <c r="C29" s="147" t="s">
        <v>281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4" t="s">
        <v>282</v>
      </c>
      <c r="AF29" s="144"/>
      <c r="AG29" s="144"/>
      <c r="AH29" s="145"/>
      <c r="AI29" s="148">
        <f>AI25</f>
        <v>1.4311240000000001E-4</v>
      </c>
      <c r="AJ29" s="148">
        <f>AJ25</f>
        <v>1.6511829704146483E-2</v>
      </c>
      <c r="AK29" s="149" t="e">
        <f>AK25</f>
        <v>#DIV/0!</v>
      </c>
      <c r="AN29" s="36"/>
      <c r="AS29" s="39"/>
      <c r="AT29" s="36"/>
      <c r="AU29" s="39"/>
      <c r="AV29" s="39"/>
      <c r="AW29" s="39"/>
      <c r="AX29" s="39"/>
      <c r="AY29" s="39"/>
      <c r="AZ29" s="36"/>
      <c r="BC29" s="36"/>
      <c r="BF29" s="38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8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8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6"/>
      <c r="DS29" s="38"/>
      <c r="EK29" s="38"/>
      <c r="FD29" s="40"/>
      <c r="FV29" s="41"/>
      <c r="FY29" s="41"/>
      <c r="GB29" s="41"/>
      <c r="GE29" s="150">
        <f>BA25</f>
        <v>20.800010683927201</v>
      </c>
      <c r="GF29" s="151">
        <f>BB25</f>
        <v>36.155809053851364</v>
      </c>
      <c r="GG29" s="150" t="e">
        <f>BC25</f>
        <v>#DIV/0!</v>
      </c>
    </row>
    <row r="30" spans="2:189" ht="15" customHeight="1">
      <c r="B30" s="146">
        <f>221.2*EXP((-7.76451*B29+1.45838*(B29^1.5)-2.7758*(B29^3)-1.23303*(B29^6))/(1-B29))</f>
        <v>2.5066195510271255E-2</v>
      </c>
      <c r="C30" s="147" t="s">
        <v>283</v>
      </c>
      <c r="D30" s="147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 t="s">
        <v>284</v>
      </c>
      <c r="AF30" s="144"/>
      <c r="AG30" s="144"/>
      <c r="AH30" s="145"/>
      <c r="AI30" s="152">
        <f>AI29*0.0393807968109573</f>
        <v>5.6358803455284451E-6</v>
      </c>
      <c r="AJ30" s="152">
        <f>AJ29*0.0393807968109573</f>
        <v>6.5024901055612183E-4</v>
      </c>
      <c r="AK30" s="153" t="e">
        <f>AK29*0.0393807968109573</f>
        <v>#DIV/0!</v>
      </c>
      <c r="AN30" s="36"/>
      <c r="AS30" s="39"/>
      <c r="AT30" s="36"/>
      <c r="AU30" s="39"/>
      <c r="AV30" s="39"/>
      <c r="AW30" s="39"/>
      <c r="AX30" s="39"/>
      <c r="AY30" s="39"/>
      <c r="AZ30" s="36"/>
      <c r="BC30" s="36"/>
      <c r="BF30" s="38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8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8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6"/>
      <c r="DS30" s="38"/>
      <c r="EK30" s="38"/>
      <c r="FD30" s="40"/>
      <c r="FV30" s="41"/>
      <c r="FY30" s="41"/>
      <c r="GB30" s="41"/>
      <c r="GE30" s="101"/>
      <c r="GF30" s="102"/>
      <c r="GG30" s="50"/>
    </row>
    <row r="31" spans="2:189" ht="15" customHeight="1">
      <c r="B31" s="146">
        <f>0.01*IF('Process DS'!I6&gt;100,100,'Process DS'!I6)*B30</f>
        <v>5.0132391020542518E-9</v>
      </c>
      <c r="C31" s="147" t="s">
        <v>285</v>
      </c>
      <c r="D31" s="147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4" t="s">
        <v>286</v>
      </c>
      <c r="AF31" s="144"/>
      <c r="AG31" s="144"/>
      <c r="AH31" s="145"/>
      <c r="AI31" s="152">
        <f>AI29*9.40594172421832</f>
        <v>1.3461068944130219E-3</v>
      </c>
      <c r="AJ31" s="154">
        <f>AJ29*9.40594172421832</f>
        <v>0.15530930795741882</v>
      </c>
      <c r="AK31" s="153" t="e">
        <f>AK29*9.40594172421832</f>
        <v>#DIV/0!</v>
      </c>
      <c r="AN31" s="36"/>
      <c r="AS31" s="39"/>
      <c r="AT31" s="36"/>
      <c r="AU31" s="39"/>
      <c r="AV31" s="39"/>
      <c r="AW31" s="39"/>
      <c r="AX31" s="39"/>
      <c r="AY31" s="39"/>
      <c r="AZ31" s="36"/>
      <c r="BC31" s="36"/>
      <c r="BF31" s="38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8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8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6"/>
      <c r="DS31" s="38"/>
      <c r="EK31" s="38"/>
      <c r="FD31" s="40"/>
      <c r="FV31" s="41"/>
      <c r="FY31" s="41"/>
      <c r="GB31" s="41"/>
      <c r="GE31" s="155" t="s">
        <v>287</v>
      </c>
      <c r="GF31" s="156" t="s">
        <v>288</v>
      </c>
      <c r="GG31" s="157"/>
    </row>
    <row r="32" spans="2:189" ht="15" customHeight="1">
      <c r="B32" s="147">
        <f>IF('Process DS'!I6&lt;=0,0,IF('Process DS'!K6='Process DB'!C49,1,IF('Process DS'!K6='Process DB'!C50,2,3)))</f>
        <v>2</v>
      </c>
      <c r="C32" s="147" t="s">
        <v>289</v>
      </c>
      <c r="D32" s="147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47" t="s">
        <v>290</v>
      </c>
      <c r="AF32" s="34"/>
      <c r="AG32" s="34"/>
      <c r="AH32" s="158"/>
      <c r="AI32" s="159">
        <f>AI25/SQRT(AF26)</f>
        <v>3.8494980332504303E-4</v>
      </c>
      <c r="AJ32" s="159">
        <f>AJ25/SQRT(AG26)</f>
        <v>1.3395422206349848E-2</v>
      </c>
      <c r="AK32" s="160" t="e">
        <f>AK25/SQRT(AH26)</f>
        <v>#DIV/0!</v>
      </c>
      <c r="AN32" s="36"/>
      <c r="AO32" s="33"/>
      <c r="AP32" s="33"/>
      <c r="AQ32" s="33"/>
      <c r="AR32" s="33"/>
      <c r="AS32" s="37"/>
      <c r="AT32" s="35"/>
      <c r="AU32" s="37"/>
      <c r="AV32" s="37"/>
      <c r="AW32" s="37"/>
      <c r="AX32" s="37"/>
      <c r="AY32" s="37"/>
      <c r="AZ32" s="35"/>
      <c r="BA32" s="33"/>
      <c r="BB32" s="33"/>
      <c r="BC32" s="36"/>
      <c r="BF32" s="38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8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8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6"/>
      <c r="DS32" s="38"/>
      <c r="EK32" s="38"/>
      <c r="FD32" s="40"/>
      <c r="FV32" s="41"/>
      <c r="FY32" s="41"/>
      <c r="GB32" s="41"/>
      <c r="GE32" s="101" t="s">
        <v>17</v>
      </c>
      <c r="GF32" s="161" t="s">
        <v>17</v>
      </c>
      <c r="GG32" s="162"/>
    </row>
    <row r="33" spans="2:189" ht="15" customHeight="1">
      <c r="B33" s="32">
        <f>B31/'Process DS'!AE4</f>
        <v>1.6267888947973663E-9</v>
      </c>
      <c r="C33" s="32" t="s">
        <v>291</v>
      </c>
      <c r="AC33" s="33"/>
      <c r="AD33" s="33"/>
      <c r="AE33" s="47" t="s">
        <v>292</v>
      </c>
      <c r="AF33" s="34"/>
      <c r="AG33" s="34"/>
      <c r="AH33" s="158"/>
      <c r="AI33" s="163">
        <f>AI32*0.0393807968109573</f>
        <v>1.5159629987161493E-5</v>
      </c>
      <c r="AJ33" s="154">
        <f>AJ32*0.0393807968109573</f>
        <v>5.2752240010524862E-4</v>
      </c>
      <c r="AK33" s="153" t="e">
        <f>AK32*0.0393807968109573</f>
        <v>#DIV/0!</v>
      </c>
      <c r="AN33" s="36"/>
      <c r="AO33" s="33"/>
      <c r="AP33" s="33"/>
      <c r="AQ33" s="33"/>
      <c r="AR33" s="33"/>
      <c r="AS33" s="37"/>
      <c r="AT33" s="35"/>
      <c r="AU33" s="37"/>
      <c r="AV33" s="37"/>
      <c r="AW33" s="37"/>
      <c r="AX33" s="37"/>
      <c r="AY33" s="37"/>
      <c r="AZ33" s="35"/>
      <c r="BA33" s="33"/>
      <c r="BB33" s="33"/>
      <c r="BC33" s="36"/>
      <c r="BF33" s="38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8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8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6"/>
      <c r="DS33" s="38"/>
      <c r="EK33" s="38"/>
      <c r="FD33" s="40"/>
      <c r="FV33" s="41"/>
      <c r="FY33" s="41"/>
      <c r="GB33" s="41"/>
      <c r="GE33" s="101">
        <f>BA25*(AF4-GF4)</f>
        <v>-80.888930437495205</v>
      </c>
      <c r="GF33" s="102">
        <f>BB25*(AG4-GF4)</f>
        <v>-803.46242341891946</v>
      </c>
      <c r="GG33" s="50"/>
    </row>
    <row r="34" spans="2:189" ht="15" customHeight="1">
      <c r="B34" s="32">
        <f>('Process DS'!AE4-B31)/'Process DS'!AE4</f>
        <v>0.99999999837321107</v>
      </c>
      <c r="C34" s="32" t="s">
        <v>293</v>
      </c>
      <c r="AD34" s="33"/>
      <c r="AE34" s="47" t="s">
        <v>294</v>
      </c>
      <c r="AF34" s="34"/>
      <c r="AG34" s="34"/>
      <c r="AH34" s="158"/>
      <c r="AI34" s="152">
        <f>AI32*9.40594172421832</f>
        <v>3.620815416824658E-3</v>
      </c>
      <c r="AJ34" s="154">
        <f>AJ32*9.40594172421832</f>
        <v>0.12599656064422665</v>
      </c>
      <c r="AK34" s="153" t="e">
        <f>AK32*9.40594172421832</f>
        <v>#DIV/0!</v>
      </c>
      <c r="AN34" s="36"/>
      <c r="AO34" s="33"/>
      <c r="AP34" s="33"/>
      <c r="AQ34" s="33"/>
      <c r="AR34" s="33"/>
      <c r="AS34" s="37"/>
      <c r="AT34" s="35"/>
      <c r="AU34" s="37"/>
      <c r="AV34" s="37"/>
      <c r="AW34" s="37"/>
      <c r="AX34" s="37"/>
      <c r="AY34" s="37"/>
      <c r="AZ34" s="35"/>
      <c r="BA34" s="33"/>
      <c r="BB34" s="33"/>
      <c r="BC34" s="36"/>
      <c r="BF34" s="38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8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8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6"/>
      <c r="DS34" s="38"/>
      <c r="EK34" s="38"/>
      <c r="FD34" s="40"/>
      <c r="FV34" s="41"/>
      <c r="FY34" s="41"/>
      <c r="GB34" s="41"/>
      <c r="GE34" s="41"/>
      <c r="GF34" s="39"/>
    </row>
    <row r="35" spans="2:189" ht="15" customHeight="1">
      <c r="AD35" s="33"/>
      <c r="AE35" s="34" t="s">
        <v>295</v>
      </c>
      <c r="AF35" s="34"/>
      <c r="AG35" s="34"/>
      <c r="AH35" s="158"/>
      <c r="AI35" s="154"/>
      <c r="AJ35" s="154"/>
      <c r="AK35" s="153"/>
      <c r="AL35" s="148">
        <f>AL25</f>
        <v>1.2299146820000001E-4</v>
      </c>
      <c r="AM35" s="148">
        <f>AM25</f>
        <v>1.6385398389570861E-2</v>
      </c>
      <c r="AN35" s="149" t="e">
        <f>AN25</f>
        <v>#DIV/0!</v>
      </c>
      <c r="AO35" s="33"/>
      <c r="AP35" s="33"/>
      <c r="AQ35" s="33"/>
      <c r="AR35" s="33"/>
      <c r="AS35" s="37"/>
      <c r="AT35" s="35"/>
      <c r="AU35" s="37"/>
      <c r="AV35" s="37"/>
      <c r="AW35" s="37"/>
      <c r="AX35" s="37"/>
      <c r="AY35" s="37"/>
      <c r="AZ35" s="35"/>
      <c r="BA35" s="33"/>
      <c r="BB35" s="33"/>
      <c r="BC35" s="36"/>
      <c r="BF35" s="38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8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8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6"/>
      <c r="DS35" s="38"/>
      <c r="EK35" s="38"/>
      <c r="FD35" s="40"/>
      <c r="FV35" s="41"/>
      <c r="FY35" s="41"/>
      <c r="GB35" s="41"/>
      <c r="GE35" s="101" t="s">
        <v>296</v>
      </c>
      <c r="GF35" s="102" t="s">
        <v>296</v>
      </c>
      <c r="GG35" s="50" t="s">
        <v>297</v>
      </c>
    </row>
    <row r="36" spans="2:189" ht="15" customHeight="1">
      <c r="B36" s="32">
        <f>IF('Process DS'!K7='Process DB'!C57,1,2)</f>
        <v>1</v>
      </c>
      <c r="C36" s="32" t="s">
        <v>298</v>
      </c>
      <c r="AD36" s="33"/>
      <c r="AE36" s="34" t="s">
        <v>299</v>
      </c>
      <c r="AF36" s="34"/>
      <c r="AG36" s="34"/>
      <c r="AH36" s="158"/>
      <c r="AI36" s="154"/>
      <c r="AJ36" s="154"/>
      <c r="AK36" s="153"/>
      <c r="AL36" s="152">
        <f>AL35*0.0393807968109573</f>
        <v>4.8435020186655161E-6</v>
      </c>
      <c r="AM36" s="152">
        <f>AM35*0.0393807968109573</f>
        <v>6.45270044646277E-4</v>
      </c>
      <c r="AN36" s="153" t="e">
        <f>AN35*0.0393807968109573</f>
        <v>#DIV/0!</v>
      </c>
      <c r="AO36" s="33"/>
      <c r="AP36" s="33"/>
      <c r="AQ36" s="33"/>
      <c r="AR36" s="33"/>
      <c r="AS36" s="37"/>
      <c r="AT36" s="35"/>
      <c r="AU36" s="37"/>
      <c r="AV36" s="37"/>
      <c r="AW36" s="37"/>
      <c r="AX36" s="37"/>
      <c r="AY36" s="37"/>
      <c r="AZ36" s="35"/>
      <c r="BA36" s="33"/>
      <c r="BB36" s="33"/>
      <c r="BC36" s="36"/>
      <c r="BF36" s="38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8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8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6"/>
      <c r="DS36" s="38"/>
      <c r="EK36" s="38"/>
      <c r="FD36" s="40"/>
      <c r="FV36" s="41"/>
      <c r="FY36" s="41"/>
      <c r="GB36" s="41"/>
      <c r="GE36" s="101" t="s">
        <v>300</v>
      </c>
      <c r="GF36" s="102" t="s">
        <v>300</v>
      </c>
      <c r="GG36" s="50" t="s">
        <v>300</v>
      </c>
    </row>
    <row r="37" spans="2:189" ht="15" customHeight="1">
      <c r="B37" s="32" t="s">
        <v>301</v>
      </c>
      <c r="C37" s="32" t="s">
        <v>302</v>
      </c>
      <c r="D37" s="32" t="s">
        <v>303</v>
      </c>
      <c r="E37" s="32" t="s">
        <v>304</v>
      </c>
      <c r="F37" s="164">
        <f>H37*C7/100</f>
        <v>3.6030560000000003E-6</v>
      </c>
      <c r="H37" s="83">
        <f>IF(B32=1,B33*100,IF(B32=2,'Process DS'!I6,IF(B32=3,'Process DS'!I6/10000,0)))</f>
        <v>2.0000000000000002E-5</v>
      </c>
      <c r="I37" s="83">
        <f>100*F37/$F$55</f>
        <v>9.0017330360016201E-5</v>
      </c>
      <c r="J37" s="32" t="s">
        <v>305</v>
      </c>
      <c r="AE37" s="34" t="s">
        <v>306</v>
      </c>
      <c r="AF37" s="34"/>
      <c r="AG37" s="34"/>
      <c r="AH37" s="158"/>
      <c r="AI37" s="154"/>
      <c r="AJ37" s="154"/>
      <c r="AK37" s="153"/>
      <c r="AL37" s="152">
        <f>AL35*9.40594172421832</f>
        <v>1.1568505824652508E-3</v>
      </c>
      <c r="AM37" s="154">
        <f>AM35*9.40594172421832</f>
        <v>0.15412010238040422</v>
      </c>
      <c r="AN37" s="153" t="e">
        <f>AN35*9.40594172421832</f>
        <v>#DIV/0!</v>
      </c>
      <c r="AO37" s="33"/>
      <c r="AP37" s="33"/>
      <c r="AQ37" s="33"/>
      <c r="AR37" s="33"/>
      <c r="AS37" s="37"/>
      <c r="AT37" s="35"/>
      <c r="AU37" s="37"/>
      <c r="AV37" s="37"/>
      <c r="AW37" s="37"/>
      <c r="AX37" s="37"/>
      <c r="AY37" s="37"/>
      <c r="AZ37" s="35"/>
      <c r="BA37" s="33"/>
      <c r="BB37" s="33"/>
      <c r="BC37" s="36"/>
      <c r="BF37" s="38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8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8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6"/>
      <c r="DS37" s="38"/>
      <c r="EK37" s="38"/>
      <c r="FD37" s="40"/>
      <c r="FV37" s="41"/>
      <c r="FY37" s="41"/>
      <c r="GB37" s="41"/>
      <c r="GE37" s="165">
        <f>GE33*D226</f>
        <v>0</v>
      </c>
      <c r="GF37" s="166">
        <f>GF33*F226</f>
        <v>0</v>
      </c>
      <c r="GG37" s="167">
        <f>GE37-GF37</f>
        <v>0</v>
      </c>
    </row>
    <row r="38" spans="2:189" ht="15" customHeight="1">
      <c r="B38" s="164">
        <f>'Process DS'!I7</f>
        <v>1.0000000000000001E-5</v>
      </c>
      <c r="C38" s="76">
        <f>B38/$B$57</f>
        <v>1.0000000000000001E-7</v>
      </c>
      <c r="D38" s="76">
        <f>IF(C8&gt;0,C38/C8,0)</f>
        <v>2.27223667617219E-9</v>
      </c>
      <c r="E38" s="83">
        <f>100*IF($B$36=1,C38,D38/$D$55)</f>
        <v>1.0000000000000001E-5</v>
      </c>
      <c r="F38" s="168">
        <f t="shared" ref="F38:F54" si="143">H38*C8/100</f>
        <v>4.4009500000000006E-6</v>
      </c>
      <c r="H38" s="83">
        <f t="shared" ref="H38:H54" si="144">E38*IF($B$32=1,$B$34,1)</f>
        <v>1.0000000000000001E-5</v>
      </c>
      <c r="I38" s="83">
        <f t="shared" ref="I38:I54" si="145">100*F38/$F$55</f>
        <v>1.0995159943334583E-4</v>
      </c>
      <c r="J38" s="169" t="s">
        <v>307</v>
      </c>
      <c r="AE38" s="47" t="s">
        <v>308</v>
      </c>
      <c r="AF38" s="34"/>
      <c r="AG38" s="34"/>
      <c r="AH38" s="158"/>
      <c r="AI38" s="154"/>
      <c r="AJ38" s="154"/>
      <c r="AK38" s="153"/>
      <c r="AL38" s="159">
        <f>AL25/SQRT(AF26)</f>
        <v>3.3082766758330017E-4</v>
      </c>
      <c r="AM38" s="159">
        <f>AM25/SQRT(AG26)</f>
        <v>1.329285326824973E-2</v>
      </c>
      <c r="AN38" s="160" t="e">
        <f>AN25/SQRT(AH26)</f>
        <v>#DIV/0!</v>
      </c>
      <c r="AO38" s="33"/>
      <c r="AP38" s="33"/>
      <c r="AQ38" s="33"/>
      <c r="AR38" s="33"/>
      <c r="AS38" s="37"/>
      <c r="AT38" s="35"/>
      <c r="AU38" s="37"/>
      <c r="AV38" s="37"/>
      <c r="AW38" s="37"/>
      <c r="AX38" s="37"/>
      <c r="AY38" s="37"/>
      <c r="AZ38" s="35"/>
      <c r="BA38" s="33"/>
      <c r="BB38" s="33"/>
      <c r="BC38" s="36"/>
      <c r="BF38" s="38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8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8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6"/>
      <c r="DS38" s="38"/>
      <c r="EK38" s="38"/>
      <c r="FD38" s="40"/>
      <c r="FV38" s="41"/>
      <c r="FY38" s="41"/>
      <c r="GB38" s="41"/>
      <c r="GE38" s="41"/>
      <c r="GF38" s="39"/>
    </row>
    <row r="39" spans="2:189" ht="15" customHeight="1">
      <c r="B39" s="164">
        <f>'Process DS'!I8</f>
        <v>1.0000000000000001E-5</v>
      </c>
      <c r="C39" s="170">
        <f t="shared" ref="C39:C54" si="146">B39/$B$57</f>
        <v>1.0000000000000001E-7</v>
      </c>
      <c r="D39" s="76">
        <f t="shared" ref="D39:D54" si="147">IF(C9&gt;0,C39/C9,0)</f>
        <v>3.5701407706505868E-9</v>
      </c>
      <c r="E39" s="83">
        <f t="shared" ref="E39:E54" si="148">100*IF($B$36=1,C39,D39/$D$55)</f>
        <v>1.0000000000000001E-5</v>
      </c>
      <c r="F39" s="168">
        <f t="shared" si="143"/>
        <v>2.8010100000000006E-6</v>
      </c>
      <c r="H39" s="84">
        <f t="shared" si="144"/>
        <v>1.0000000000000001E-5</v>
      </c>
      <c r="I39" s="83">
        <f t="shared" si="145"/>
        <v>6.9979329355888159E-5</v>
      </c>
      <c r="J39" s="169" t="s">
        <v>309</v>
      </c>
      <c r="AE39" s="47" t="s">
        <v>310</v>
      </c>
      <c r="AF39" s="34"/>
      <c r="AG39" s="34"/>
      <c r="AH39" s="158"/>
      <c r="AI39" s="154"/>
      <c r="AJ39" s="154"/>
      <c r="AK39" s="153"/>
      <c r="AL39" s="163">
        <f>AL38*0.0393807968109573</f>
        <v>1.3028257156540868E-5</v>
      </c>
      <c r="AM39" s="154">
        <f>AM38*0.0393807968109573</f>
        <v>5.2348315359481226E-4</v>
      </c>
      <c r="AN39" s="153" t="e">
        <f>AN38*0.0393807968109573</f>
        <v>#DIV/0!</v>
      </c>
      <c r="AO39" s="33"/>
      <c r="AP39" s="33"/>
      <c r="AQ39" s="33"/>
      <c r="AR39" s="33"/>
      <c r="AS39" s="37"/>
      <c r="AT39" s="35"/>
      <c r="AU39" s="37"/>
      <c r="AV39" s="37"/>
      <c r="AW39" s="37"/>
      <c r="AX39" s="37"/>
      <c r="AY39" s="37"/>
      <c r="AZ39" s="35"/>
      <c r="BA39" s="33"/>
      <c r="BB39" s="33"/>
      <c r="BC39" s="36"/>
      <c r="BF39" s="38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8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8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6"/>
      <c r="DS39" s="38"/>
      <c r="EK39" s="38"/>
      <c r="FD39" s="40"/>
      <c r="FV39" s="41"/>
      <c r="FY39" s="41"/>
      <c r="GB39" s="41"/>
      <c r="GE39" s="101"/>
      <c r="GF39" s="42" t="s">
        <v>311</v>
      </c>
      <c r="GG39" s="50">
        <f>GE37*GF3/100</f>
        <v>0</v>
      </c>
    </row>
    <row r="40" spans="2:189" ht="15" customHeight="1">
      <c r="B40" s="164">
        <f>'Process DS'!I9</f>
        <v>1.0000000000000001E-5</v>
      </c>
      <c r="C40" s="170">
        <f t="shared" si="146"/>
        <v>1.0000000000000001E-7</v>
      </c>
      <c r="D40" s="76">
        <f t="shared" si="147"/>
        <v>6.2334579609361671E-9</v>
      </c>
      <c r="E40" s="83">
        <f t="shared" si="148"/>
        <v>1.0000000000000001E-5</v>
      </c>
      <c r="F40" s="168">
        <f t="shared" si="143"/>
        <v>1.604246E-6</v>
      </c>
      <c r="H40" s="84">
        <f t="shared" si="144"/>
        <v>1.0000000000000001E-5</v>
      </c>
      <c r="I40" s="83">
        <f t="shared" si="145"/>
        <v>4.0079849483531349E-5</v>
      </c>
      <c r="J40" s="169" t="s">
        <v>312</v>
      </c>
      <c r="AE40" s="47" t="s">
        <v>313</v>
      </c>
      <c r="AF40" s="34"/>
      <c r="AG40" s="34"/>
      <c r="AH40" s="158"/>
      <c r="AI40" s="154"/>
      <c r="AJ40" s="154"/>
      <c r="AK40" s="153"/>
      <c r="AL40" s="152">
        <f>AL38*9.40594172421832</f>
        <v>3.1117457620475917E-3</v>
      </c>
      <c r="AM40" s="154">
        <f>AM38*9.40594172421832</f>
        <v>0.125031803189742</v>
      </c>
      <c r="AN40" s="153" t="e">
        <f>AN38*9.40594172421832</f>
        <v>#DIV/0!</v>
      </c>
      <c r="AO40" s="33"/>
      <c r="AP40" s="33"/>
      <c r="AQ40" s="33"/>
      <c r="AR40" s="33"/>
      <c r="AS40" s="37"/>
      <c r="AT40" s="35"/>
      <c r="AU40" s="37"/>
      <c r="AV40" s="37"/>
      <c r="AW40" s="37"/>
      <c r="AX40" s="37"/>
      <c r="AY40" s="37"/>
      <c r="AZ40" s="35"/>
      <c r="BA40" s="33"/>
      <c r="BB40" s="33"/>
      <c r="BC40" s="36"/>
      <c r="BF40" s="38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8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8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6"/>
      <c r="DS40" s="38"/>
      <c r="EK40" s="38"/>
      <c r="FD40" s="40"/>
      <c r="FV40" s="41"/>
      <c r="FY40" s="41"/>
      <c r="GB40" s="41"/>
      <c r="GE40" s="41"/>
      <c r="GF40" s="47" t="s">
        <v>314</v>
      </c>
      <c r="GG40" s="167">
        <f>GG37-GG39</f>
        <v>0</v>
      </c>
    </row>
    <row r="41" spans="2:189" ht="15" customHeight="1">
      <c r="B41" s="164">
        <f>'Process DS'!I10</f>
        <v>4.0000000000000003E-5</v>
      </c>
      <c r="C41" s="170">
        <f t="shared" si="146"/>
        <v>4.0000000000000003E-7</v>
      </c>
      <c r="D41" s="76">
        <f t="shared" si="147"/>
        <v>1.4278880821321226E-8</v>
      </c>
      <c r="E41" s="83">
        <f t="shared" si="148"/>
        <v>4.0000000000000003E-5</v>
      </c>
      <c r="F41" s="168">
        <f t="shared" si="143"/>
        <v>1.1205360000000002E-5</v>
      </c>
      <c r="H41" s="84">
        <f t="shared" si="144"/>
        <v>4.0000000000000003E-5</v>
      </c>
      <c r="I41" s="83">
        <f t="shared" si="145"/>
        <v>2.7995029578305501E-4</v>
      </c>
      <c r="J41" s="169" t="s">
        <v>315</v>
      </c>
      <c r="AE41" s="47" t="s">
        <v>316</v>
      </c>
      <c r="AF41" s="34"/>
      <c r="AG41" s="34"/>
      <c r="AH41" s="158"/>
      <c r="AI41" s="154"/>
      <c r="AJ41" s="154"/>
      <c r="AK41" s="153"/>
      <c r="AL41" s="154"/>
      <c r="AM41" s="154"/>
      <c r="AN41" s="153"/>
      <c r="AO41" s="33"/>
      <c r="AP41" s="33"/>
      <c r="AQ41" s="33"/>
      <c r="AR41" s="33"/>
      <c r="AS41" s="37"/>
      <c r="AT41" s="35"/>
      <c r="AU41" s="37"/>
      <c r="AV41" s="37"/>
      <c r="AW41" s="37"/>
      <c r="AX41" s="37"/>
      <c r="AY41" s="37"/>
      <c r="AZ41" s="35"/>
      <c r="BA41" s="171">
        <f>BA25</f>
        <v>20.800010683927201</v>
      </c>
      <c r="BB41" s="172">
        <f>BB25</f>
        <v>36.155809053851364</v>
      </c>
      <c r="BC41" s="173" t="e">
        <f>BC25</f>
        <v>#DIV/0!</v>
      </c>
      <c r="BF41" s="38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8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8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6"/>
      <c r="DS41" s="38"/>
      <c r="EK41" s="38"/>
      <c r="FD41" s="40"/>
      <c r="FV41" s="41"/>
      <c r="FY41" s="41"/>
      <c r="GB41" s="41"/>
      <c r="GE41" s="41"/>
      <c r="GF41" s="47" t="s">
        <v>317</v>
      </c>
      <c r="GG41" s="174" t="e">
        <f>GG40/GG29/H226+GF4</f>
        <v>#DIV/0!</v>
      </c>
    </row>
    <row r="42" spans="2:189" ht="15" customHeight="1">
      <c r="B42" s="164">
        <f>'Process DS'!I11</f>
        <v>1.0000000000000001E-5</v>
      </c>
      <c r="C42" s="170">
        <f t="shared" si="146"/>
        <v>1.0000000000000001E-7</v>
      </c>
      <c r="D42" s="76">
        <f t="shared" si="147"/>
        <v>3.1251171918946962E-9</v>
      </c>
      <c r="E42" s="83">
        <f t="shared" si="148"/>
        <v>1.0000000000000001E-5</v>
      </c>
      <c r="F42" s="168">
        <f t="shared" si="143"/>
        <v>3.1998799999999999E-6</v>
      </c>
      <c r="H42" s="84">
        <f t="shared" si="144"/>
        <v>1.0000000000000001E-5</v>
      </c>
      <c r="I42" s="83">
        <f t="shared" si="145"/>
        <v>7.9944540154915322E-5</v>
      </c>
      <c r="J42" s="169" t="s">
        <v>318</v>
      </c>
      <c r="AE42" s="47" t="s">
        <v>316</v>
      </c>
      <c r="AF42" s="34"/>
      <c r="AG42" s="34"/>
      <c r="AH42" s="158"/>
      <c r="AI42" s="154"/>
      <c r="AJ42" s="154"/>
      <c r="AK42" s="153"/>
      <c r="AL42" s="154"/>
      <c r="AM42" s="154"/>
      <c r="AN42" s="153"/>
      <c r="AO42" s="33"/>
      <c r="AP42" s="33"/>
      <c r="AQ42" s="33"/>
      <c r="AR42" s="33"/>
      <c r="AS42" s="37"/>
      <c r="AT42" s="35"/>
      <c r="AU42" s="37"/>
      <c r="AV42" s="37"/>
      <c r="AW42" s="37"/>
      <c r="AX42" s="37"/>
      <c r="AY42" s="37"/>
      <c r="AZ42" s="35"/>
      <c r="BA42" s="171">
        <f>BA41/4.1868</f>
        <v>4.9679972016640876</v>
      </c>
      <c r="BB42" s="172">
        <f>BB41/4.1868</f>
        <v>8.6356666317596655</v>
      </c>
      <c r="BC42" s="173" t="e">
        <f>BC41/4.1868</f>
        <v>#DIV/0!</v>
      </c>
      <c r="BF42" s="38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8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8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6"/>
      <c r="DS42" s="38"/>
      <c r="EK42" s="38"/>
      <c r="FD42" s="40"/>
      <c r="FV42" s="41"/>
      <c r="FY42" s="41"/>
      <c r="GB42" s="41"/>
      <c r="GE42" s="41"/>
      <c r="GF42" s="47" t="s">
        <v>319</v>
      </c>
      <c r="GG42" s="96" t="e">
        <f>GG41-273.15</f>
        <v>#DIV/0!</v>
      </c>
    </row>
    <row r="43" spans="2:189" ht="15" customHeight="1">
      <c r="B43" s="164">
        <f>'Process DS'!I12</f>
        <v>99.999899999999997</v>
      </c>
      <c r="C43" s="170">
        <f t="shared" si="146"/>
        <v>0.99999899999999997</v>
      </c>
      <c r="D43" s="76">
        <f t="shared" si="147"/>
        <v>0.24983723088131168</v>
      </c>
      <c r="E43" s="83">
        <f t="shared" si="148"/>
        <v>99.999899999999997</v>
      </c>
      <c r="F43" s="168">
        <f t="shared" si="143"/>
        <v>4.0025979973980004</v>
      </c>
      <c r="H43" s="84">
        <f t="shared" si="144"/>
        <v>99.999899999999997</v>
      </c>
      <c r="I43" s="83">
        <f t="shared" si="145"/>
        <v>99.999330077055419</v>
      </c>
      <c r="J43" s="169" t="s">
        <v>320</v>
      </c>
      <c r="AE43" s="34" t="s">
        <v>321</v>
      </c>
      <c r="AH43" s="36"/>
      <c r="AI43" s="175"/>
      <c r="AJ43" s="175"/>
      <c r="AK43" s="176"/>
      <c r="AL43" s="177"/>
      <c r="AM43" s="177"/>
      <c r="AN43" s="176"/>
      <c r="AO43" s="33"/>
      <c r="AP43" s="33"/>
      <c r="AQ43" s="33"/>
      <c r="AR43" s="33"/>
      <c r="AS43" s="37"/>
      <c r="AT43" s="35"/>
      <c r="AU43" s="37"/>
      <c r="AV43" s="37"/>
      <c r="AW43" s="37"/>
      <c r="AX43" s="37"/>
      <c r="AY43" s="37"/>
      <c r="AZ43" s="35"/>
      <c r="BA43" s="171">
        <f>BA25/(BA25-$B$2)</f>
        <v>1.6659280757551351</v>
      </c>
      <c r="BB43" s="172">
        <f>BB25/(BB25-$B$2)</f>
        <v>1.2986376340309997</v>
      </c>
      <c r="BC43" s="173" t="e">
        <f>BC25/(BC25-$B$2)</f>
        <v>#DIV/0!</v>
      </c>
      <c r="BF43" s="38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8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8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6"/>
      <c r="DS43" s="38"/>
      <c r="EK43" s="38"/>
      <c r="FD43" s="40"/>
      <c r="FV43" s="41"/>
      <c r="FY43" s="41"/>
      <c r="GB43" s="41"/>
      <c r="GE43" s="41"/>
      <c r="GF43" s="47" t="s">
        <v>319</v>
      </c>
      <c r="GG43" s="96" t="e">
        <f>9*GG42/5+32</f>
        <v>#DIV/0!</v>
      </c>
    </row>
    <row r="44" spans="2:189" ht="15" customHeight="1">
      <c r="B44" s="164">
        <f>'Process DS'!I13</f>
        <v>0</v>
      </c>
      <c r="C44" s="170">
        <f t="shared" si="146"/>
        <v>0</v>
      </c>
      <c r="D44" s="76">
        <f t="shared" si="147"/>
        <v>0</v>
      </c>
      <c r="E44" s="83">
        <f t="shared" si="148"/>
        <v>0</v>
      </c>
      <c r="F44" s="168">
        <f t="shared" si="143"/>
        <v>0</v>
      </c>
      <c r="H44" s="84">
        <f t="shared" si="144"/>
        <v>0</v>
      </c>
      <c r="I44" s="83">
        <f t="shared" si="145"/>
        <v>0</v>
      </c>
      <c r="J44" s="169" t="s">
        <v>322</v>
      </c>
      <c r="AE44" s="34" t="s">
        <v>323</v>
      </c>
      <c r="AH44" s="36"/>
      <c r="AI44" s="175"/>
      <c r="AJ44" s="175"/>
      <c r="AK44" s="176"/>
      <c r="AL44" s="177"/>
      <c r="AM44" s="177"/>
      <c r="AN44" s="176"/>
      <c r="AO44" s="33"/>
      <c r="AP44" s="33"/>
      <c r="AQ44" s="33"/>
      <c r="AR44" s="33"/>
      <c r="AS44" s="37"/>
      <c r="AT44" s="35"/>
      <c r="AU44" s="37"/>
      <c r="AV44" s="37"/>
      <c r="AW44" s="37"/>
      <c r="AX44" s="37"/>
      <c r="AY44" s="37"/>
      <c r="AZ44" s="35"/>
      <c r="BA44" s="144"/>
      <c r="BB44" s="144"/>
      <c r="BC44" s="145"/>
      <c r="BF44" s="38"/>
      <c r="BG44" s="107">
        <f>IF($B7&lt;&gt;"-",$AB7*BD7/SUM(BG7:BG24),0)</f>
        <v>1.5245799415436665E-8</v>
      </c>
      <c r="BH44" s="107">
        <f>IF($B8&lt;&gt;"-",$AB8*BD8/SUM(BH7:BH24),0)</f>
        <v>1.1559062447133143E-8</v>
      </c>
      <c r="BI44" s="107">
        <f>IF($B9&lt;&gt;"-",$AB9*BD9/SUM(BI7:BI24),0)</f>
        <v>1.2506227479347692E-8</v>
      </c>
      <c r="BJ44" s="107">
        <f>IF($B10&lt;&gt;"-",$AB10*BD10/SUM(BJ7:BJ24),0)</f>
        <v>1.172258777220656E-8</v>
      </c>
      <c r="BK44" s="107">
        <f>IF($B11&lt;&gt;"-",$AB11*BD11/SUM(BK7:BK24),0)</f>
        <v>5.1255679806970704E-8</v>
      </c>
      <c r="BL44" s="107">
        <f>IF($B12&lt;&gt;"-",$AB12*BD12/SUM(BL7:BL24),0)</f>
        <v>1.4090035781608578E-8</v>
      </c>
      <c r="BM44" s="107">
        <f>IF($B13&lt;&gt;"-",$AB13*BD13/SUM(BM7:BM24),0)</f>
        <v>0.14569964401936489</v>
      </c>
      <c r="BN44" s="107">
        <f>IF($B14&lt;&gt;"-",$AB14*BD14/SUM(BN7:BN24),0)</f>
        <v>0</v>
      </c>
      <c r="BO44" s="107">
        <f>IF($B15&lt;&gt;"-",$AB15*BD15/SUM(BO7:BO24),0)</f>
        <v>0</v>
      </c>
      <c r="BP44" s="107">
        <f>IF($B16&lt;&gt;"-",$AB16*BD16/SUM(BP7:BP24),0)</f>
        <v>0</v>
      </c>
      <c r="BQ44" s="107">
        <f>IF($B17&lt;&gt;"-",$AB17*BD17/SUM(BQ7:BQ24),0)</f>
        <v>0</v>
      </c>
      <c r="BR44" s="107">
        <f>IF($B18&lt;&gt;"-",$AB18*BD18/SUM(BR7:BR24),0)</f>
        <v>0</v>
      </c>
      <c r="BS44" s="107">
        <f>IF($B19&lt;&gt;"-",$AB19*BD19/SUM(BS7:BS24),0)</f>
        <v>0</v>
      </c>
      <c r="BT44" s="107">
        <f>IF($B20&lt;&gt;"-",$AB20*BD20/SUM(BT7:BT24),0)</f>
        <v>0</v>
      </c>
      <c r="BU44" s="107">
        <f>IF($B21&lt;&gt;"-",$AB21*BD21/SUM(BU7:BU24),0)</f>
        <v>0</v>
      </c>
      <c r="BV44" s="107">
        <f>IF($B22&lt;&gt;"-",$AB22*BD22/SUM(BV7:BV24),0)</f>
        <v>0</v>
      </c>
      <c r="BW44" s="107">
        <f>IF($B23&lt;&gt;"-",$AB23*BD23/SUM(BW7:BW24),0)</f>
        <v>0</v>
      </c>
      <c r="BX44" s="99">
        <f>IF($B24&lt;&gt;"-",$AB24*BD24/SUM(BX7:BX24),0)</f>
        <v>0</v>
      </c>
      <c r="BY44" s="107">
        <f>IF($B7&lt;&gt;"-",$AC7*BE7/SUM(BY7:BY24),0)</f>
        <v>1.053510032553926E-8</v>
      </c>
      <c r="BZ44" s="107">
        <f>IF($B8&lt;&gt;"-",$AC8*BE8/SUM(BZ7:BZ24),0)</f>
        <v>1.5091398105420923E-2</v>
      </c>
      <c r="CA44" s="107">
        <f>IF($B9&lt;&gt;"-",$AC9*BE9/SUM(BZ7:BZ24),0)</f>
        <v>1.1357336329714661E-6</v>
      </c>
      <c r="CB44" s="107">
        <f>IF($B10&lt;&gt;"-",$AC10*BE10/SUM(CB7:CB24),0)</f>
        <v>9.4194017581603697E-9</v>
      </c>
      <c r="CC44" s="107">
        <f>IF($B11&lt;&gt;"-",$AC11*BE11/SUM(CC7:CC24),0)</f>
        <v>3.3507291983079242E-6</v>
      </c>
      <c r="CD44" s="107">
        <f>IF($B12&lt;&gt;"-",$AC12*BE12/SUM(CD7:CD24),0)</f>
        <v>3.6147917928536063E-6</v>
      </c>
      <c r="CE44" s="107">
        <f>IF($B13&lt;&gt;"-",$AC13*BE13/SUM(CE7:CE24),0)</f>
        <v>0</v>
      </c>
      <c r="CF44" s="107">
        <f>IF($B14&lt;&gt;"-",$AC14*BE14/SUM(CF7:CF24),0)</f>
        <v>0</v>
      </c>
      <c r="CG44" s="107">
        <f>IF($B15&lt;&gt;"-",$AC15*BE15/SUM(CG7:CG24),0)</f>
        <v>0</v>
      </c>
      <c r="CH44" s="107">
        <f>IF($B16&lt;&gt;"-",$AC16*BE16/SUM(CH7:CH24),0)</f>
        <v>0</v>
      </c>
      <c r="CI44" s="107">
        <f>IF($B17&lt;&gt;"-",$AC17*BE17/SUM(CI7:CI24),0)</f>
        <v>0</v>
      </c>
      <c r="CJ44" s="107">
        <f>IF($B18&lt;&gt;"-",$AC18*BE18/SUM(CJ7:CJ24),0)</f>
        <v>0</v>
      </c>
      <c r="CK44" s="107">
        <f>IF($B19&lt;&gt;"-",$AC19*BE19/SUM(CK7:CK24),0)</f>
        <v>0</v>
      </c>
      <c r="CL44" s="107">
        <f>IF($B20&lt;&gt;"-",$AC20*BE20/SUM(CL7:CL24),0)</f>
        <v>0</v>
      </c>
      <c r="CM44" s="107">
        <f>IF($B21&lt;&gt;"-",$AC21*BE21/SUM(CM7:CM24),0)</f>
        <v>0</v>
      </c>
      <c r="CN44" s="107">
        <f>IF($B22&lt;&gt;"-",$AC22*BE22/SUM(CN7:CN24),0)</f>
        <v>0</v>
      </c>
      <c r="CO44" s="107">
        <f>IF($B23&lt;&gt;"-",$AC23*BE23/SUM(CO7:CO24),0)</f>
        <v>0</v>
      </c>
      <c r="CP44" s="99">
        <f>IF($B24&lt;&gt;"-",$AC24*BE24/SUM(CP7:CP24),0)</f>
        <v>0</v>
      </c>
      <c r="CQ44" s="107" t="e">
        <f>IF($B7&lt;&gt;"-",$AD7*BF7/SUM(CQ7:CQ24),0)</f>
        <v>#DIV/0!</v>
      </c>
      <c r="CR44" s="107" t="e">
        <f>IF($B8&lt;&gt;"-",$AD8*BF8/SUM(CR7:CR24),0)</f>
        <v>#DIV/0!</v>
      </c>
      <c r="CS44" s="107" t="e">
        <f>IF($B9&lt;&gt;"-",$AD9*BF9/SUM(CS7:CS24),0)</f>
        <v>#DIV/0!</v>
      </c>
      <c r="CT44" s="107" t="e">
        <f>IF($B10&lt;&gt;"-",$AD10*BF10/SUM(CT7:CT24),0)</f>
        <v>#DIV/0!</v>
      </c>
      <c r="CU44" s="107" t="e">
        <f>IF($B11&lt;&gt;"-",$AD11*BF11/SUM(CU7:CU24),0)</f>
        <v>#DIV/0!</v>
      </c>
      <c r="CV44" s="107" t="e">
        <f>IF($B12&lt;&gt;"-",$AD12*BF12/SUM(CV7:CV24),0)</f>
        <v>#DIV/0!</v>
      </c>
      <c r="CW44" s="107" t="e">
        <f>IF($B13&lt;&gt;"-",$AD13*BF13/SUM(CW7:CW24),0)</f>
        <v>#DIV/0!</v>
      </c>
      <c r="CX44" s="107">
        <f>IF($B14&lt;&gt;"-",$AD14*BF14/SUM(CX7:CX24),0)</f>
        <v>0</v>
      </c>
      <c r="CY44" s="107">
        <f>IF($B15&lt;&gt;"-",$AD15*BF15/SUM(CY7:CY24),0)</f>
        <v>0</v>
      </c>
      <c r="CZ44" s="107">
        <f>IF($B16&lt;&gt;"-",$AD16*BF16/SUM(CZ7:CZ24),0)</f>
        <v>0</v>
      </c>
      <c r="DA44" s="107">
        <f>IF($B17&lt;&gt;"-",$AD17*BF17/SUM(DA7:DA24),0)</f>
        <v>0</v>
      </c>
      <c r="DB44" s="107">
        <f>IF($B18&lt;&gt;"-",$AD18*BF18/SUM(DB7:DB24),0)</f>
        <v>0</v>
      </c>
      <c r="DC44" s="107">
        <f>IF($B19&lt;&gt;"-",$AD19*BF19/SUM(DC7:DC24),0)</f>
        <v>0</v>
      </c>
      <c r="DD44" s="107">
        <f>IF($B20&lt;&gt;"-",$AD20*BF20/SUM(DD7:DD24),0)</f>
        <v>0</v>
      </c>
      <c r="DE44" s="107">
        <f>IF($B21&lt;&gt;"-",$AD21*BF21/SUM(DE7:DE24),0)</f>
        <v>0</v>
      </c>
      <c r="DF44" s="107">
        <f>IF($B22&lt;&gt;"-",$AD22*BF22/SUM(DF7:DF24),0)</f>
        <v>0</v>
      </c>
      <c r="DG44" s="107">
        <f>IF($B23&lt;&gt;"-",$AD23*BF23/SUM(DG7:DG24),0)</f>
        <v>0</v>
      </c>
      <c r="DH44" s="178">
        <f>IF($B24&lt;&gt;"-",$AD24*BF24/SUM(DH7:DH24),0)</f>
        <v>0</v>
      </c>
      <c r="DS44" s="38"/>
      <c r="EK44" s="38"/>
      <c r="FD44" s="40"/>
      <c r="FV44" s="41"/>
      <c r="FY44" s="41"/>
      <c r="GB44" s="41"/>
      <c r="GE44" s="41"/>
    </row>
    <row r="45" spans="2:189" ht="15" customHeight="1">
      <c r="B45" s="164">
        <f>'Process DS'!I14</f>
        <v>0</v>
      </c>
      <c r="C45" s="170">
        <f t="shared" si="146"/>
        <v>0</v>
      </c>
      <c r="D45" s="76">
        <f t="shared" si="147"/>
        <v>0</v>
      </c>
      <c r="E45" s="83">
        <f t="shared" si="148"/>
        <v>0</v>
      </c>
      <c r="F45" s="168">
        <f t="shared" si="143"/>
        <v>0</v>
      </c>
      <c r="H45" s="84">
        <f t="shared" si="144"/>
        <v>0</v>
      </c>
      <c r="I45" s="83">
        <f t="shared" si="145"/>
        <v>0</v>
      </c>
      <c r="J45" s="169" t="s">
        <v>324</v>
      </c>
      <c r="AE45" s="34" t="s">
        <v>325</v>
      </c>
      <c r="AH45" s="36"/>
      <c r="AI45" s="175"/>
      <c r="AJ45" s="175"/>
      <c r="AK45" s="176"/>
      <c r="AL45" s="177"/>
      <c r="AM45" s="177"/>
      <c r="AN45" s="176"/>
      <c r="AO45" s="33"/>
      <c r="AP45" s="33"/>
      <c r="AQ45" s="33"/>
      <c r="AR45" s="33"/>
      <c r="AS45" s="37"/>
      <c r="AT45" s="35"/>
      <c r="AU45" s="37"/>
      <c r="AV45" s="37"/>
      <c r="AW45" s="37"/>
      <c r="AX45" s="37"/>
      <c r="AY45" s="37"/>
      <c r="AZ45" s="35"/>
      <c r="BA45" s="144"/>
      <c r="BB45" s="144"/>
      <c r="BC45" s="145"/>
      <c r="BF45" s="38"/>
      <c r="BG45" s="98">
        <f>SUM(BG44:BX44)</f>
        <v>0.14569976039875759</v>
      </c>
      <c r="BH45" s="98">
        <f>BG45/1.730735</f>
        <v>8.4183748753424187E-2</v>
      </c>
      <c r="BI45" s="179" t="s">
        <v>326</v>
      </c>
      <c r="BJ45" s="93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80"/>
      <c r="BY45" s="98">
        <f>SUM(BY44:CP44)</f>
        <v>1.5099519314547141E-2</v>
      </c>
      <c r="BZ45" s="98">
        <f>BY45/1.730735</f>
        <v>8.7243392631148851E-3</v>
      </c>
      <c r="CA45" s="179" t="s">
        <v>326</v>
      </c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80"/>
      <c r="CQ45" s="98" t="e">
        <f>SUM(CQ44:DH44)</f>
        <v>#DIV/0!</v>
      </c>
      <c r="CR45" s="98" t="e">
        <f>CQ45/1.730735</f>
        <v>#DIV/0!</v>
      </c>
      <c r="CS45" s="179" t="s">
        <v>326</v>
      </c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81"/>
      <c r="DS45" s="38"/>
      <c r="EK45" s="38"/>
      <c r="FD45" s="40"/>
      <c r="FV45" s="41"/>
      <c r="FY45" s="41"/>
      <c r="GB45" s="41"/>
      <c r="GE45" s="41"/>
    </row>
    <row r="46" spans="2:189" ht="15" customHeight="1">
      <c r="B46" s="164">
        <f>'Process DS'!I15</f>
        <v>0</v>
      </c>
      <c r="C46" s="170">
        <f t="shared" si="146"/>
        <v>0</v>
      </c>
      <c r="D46" s="76">
        <f t="shared" si="147"/>
        <v>0</v>
      </c>
      <c r="E46" s="83">
        <f t="shared" si="148"/>
        <v>0</v>
      </c>
      <c r="F46" s="168">
        <f t="shared" si="143"/>
        <v>0</v>
      </c>
      <c r="H46" s="84">
        <f t="shared" si="144"/>
        <v>0</v>
      </c>
      <c r="I46" s="83">
        <f t="shared" si="145"/>
        <v>0</v>
      </c>
      <c r="J46" s="169" t="s">
        <v>327</v>
      </c>
      <c r="AE46" s="34" t="s">
        <v>328</v>
      </c>
      <c r="AF46" s="33"/>
      <c r="AG46" s="33"/>
      <c r="AH46" s="35"/>
      <c r="AI46" s="33"/>
      <c r="AJ46" s="33"/>
      <c r="AK46" s="35"/>
      <c r="AL46" s="37"/>
      <c r="AM46" s="37"/>
      <c r="AN46" s="35"/>
      <c r="AO46" s="33"/>
      <c r="AP46" s="33"/>
      <c r="AQ46" s="33"/>
      <c r="AR46" s="33"/>
      <c r="AS46" s="37"/>
      <c r="AT46" s="35"/>
      <c r="AU46" s="37"/>
      <c r="AV46" s="37"/>
      <c r="AW46" s="37"/>
      <c r="AX46" s="37"/>
      <c r="AY46" s="37"/>
      <c r="AZ46" s="35"/>
      <c r="BA46" s="33"/>
      <c r="BB46" s="33"/>
      <c r="BC46" s="36"/>
      <c r="BF46" s="38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80"/>
      <c r="BY46" s="91"/>
      <c r="BZ46" s="182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8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6"/>
      <c r="DS46" s="38"/>
      <c r="DT46" s="93">
        <f>IF($B7&lt;&gt;"-",$AB7*DQ7/SUM(DT7:DT24),0)</f>
        <v>5.4794884484198154E-5</v>
      </c>
      <c r="DU46" s="93">
        <f>IF($B8&lt;&gt;"-",$AB8*DQ8/SUM(DU7:DU24),0)</f>
        <v>6.2421453428432487E-5</v>
      </c>
      <c r="DV46" s="93">
        <f>IF($B9&lt;&gt;"-",$AB9*DQ9/SUM(DV7:DV24),0)</f>
        <v>5.1323266927359884E-5</v>
      </c>
      <c r="DW46" s="93">
        <f>IF($B10&lt;&gt;"-",$AB10*DQ10/SUM(DW7:DW24),0)</f>
        <v>2.8158321308623717E-5</v>
      </c>
      <c r="DX46" s="93">
        <f>IF($B11&lt;&gt;"-",$AB11*DQ11/SUM(DX7:DX24),0)</f>
        <v>2.1129948530750127E-4</v>
      </c>
      <c r="DY46" s="93">
        <f>IF($B12&lt;&gt;"-",$AB12*DQ12/SUM(DY7:DY24),0)</f>
        <v>6.2856702332166325E-5</v>
      </c>
      <c r="DZ46" s="93">
        <f>IF($B13&lt;&gt;"-",$AB13*DQ13/SUM(DZ7:DZ24),0)</f>
        <v>168.17998139713842</v>
      </c>
      <c r="EA46" s="93">
        <f>IF($B14&lt;&gt;"-",$AB14*DQ14/SUM(EA7:EA24),0)</f>
        <v>0</v>
      </c>
      <c r="EB46" s="93">
        <f>IF($B15&lt;&gt;"-",$AB15*DQ15/SUM(EB7:EB24),0)</f>
        <v>0</v>
      </c>
      <c r="EC46" s="93">
        <f>IF($B16&lt;&gt;"-",$AB16*DQ16/SUM(EC7:EC24),0)</f>
        <v>0</v>
      </c>
      <c r="ED46" s="93">
        <f>IF($B17&lt;&gt;"-",$AB17*DQ17/SUM(ED7:ED24),0)</f>
        <v>0</v>
      </c>
      <c r="EE46" s="93">
        <f>IF($B18&lt;&gt;"-",$AB18*DQ18/SUM(EE7:EE24),0)</f>
        <v>0</v>
      </c>
      <c r="EF46" s="93">
        <f>IF($B19&lt;&gt;"-",$AB19*DQ19/SUM(EF7:EF24),0)</f>
        <v>0</v>
      </c>
      <c r="EG46" s="93">
        <f>IF($B20&lt;&gt;"-",$AB20*DQ20/SUM(EG7:EG24),0)</f>
        <v>0</v>
      </c>
      <c r="EH46" s="93">
        <f>IF($B21&lt;&gt;"-",$AB21*DQ21/SUM(EH7:EH24),0)</f>
        <v>0</v>
      </c>
      <c r="EI46" s="93">
        <f>IF($B22&lt;&gt;"-",$AB22*DQ22/SUM(EI7:EI24),0)</f>
        <v>0</v>
      </c>
      <c r="EJ46" s="93">
        <f>IF($B23&lt;&gt;"-",$AB23*DQ23/SUM(EJ7:EJ24),0)</f>
        <v>0</v>
      </c>
      <c r="EK46" s="183">
        <f>IF($B24&lt;&gt;"-",$AB24*DQ24/SUM(EK7:EK24),0)</f>
        <v>0</v>
      </c>
      <c r="EL46" s="93">
        <f>IF($B7&lt;&gt;"-",$AC7*DR7/SUM(EL7:EL24),0)</f>
        <v>7.5173521329492522E-5</v>
      </c>
      <c r="EM46" s="93">
        <f>IF($B8&lt;&gt;"-",$AC8*DR8/SUM(EM7:EM24),0)</f>
        <v>136.43621488837525</v>
      </c>
      <c r="EN46" s="93">
        <f>IF($B9&lt;&gt;"-",$AC9*DR9/SUM(EN7:EN24),0)</f>
        <v>5.7738750987501725E-3</v>
      </c>
      <c r="EO46" s="93">
        <f>IF($B10&lt;&gt;"-",$AC10*DR10/SUM(EO7:EO24),0)</f>
        <v>5.7033637292108192E-5</v>
      </c>
      <c r="EP46" s="93">
        <f>IF($B11&lt;&gt;"-",$AC11*DR11/SUM(EP7:EP24),0)</f>
        <v>2.7037261988516088E-2</v>
      </c>
      <c r="EQ46" s="93">
        <f>IF($B12&lt;&gt;"-",$AC12*DR12/SUM(EQ7:EQ24),0)</f>
        <v>3.0719379242669386E-2</v>
      </c>
      <c r="ER46" s="93">
        <f>IF($B13&lt;&gt;"-",$AC13*DR13/SUM(ER7:ER24),0)</f>
        <v>0</v>
      </c>
      <c r="ES46" s="93">
        <f>IF($B14&lt;&gt;"-",$AC14*DR14/SUM(ES7:ES24),0)</f>
        <v>0</v>
      </c>
      <c r="ET46" s="93">
        <f>IF($B15&lt;&gt;"-",$AC15*DR15/SUM(ET7:ET24),0)</f>
        <v>0</v>
      </c>
      <c r="EU46" s="93">
        <f>IF($B16&lt;&gt;"-",$AC16*DR16/SUM(EU7:EU24),0)</f>
        <v>0</v>
      </c>
      <c r="EV46" s="93">
        <f>IF($B17&lt;&gt;"-",$AC17*DR17/SUM(EV7:EV24),0)</f>
        <v>0</v>
      </c>
      <c r="EW46" s="93">
        <f>IF($B18&lt;&gt;"-",$AC18*DR18/SUM(EW7:EW24),0)</f>
        <v>0</v>
      </c>
      <c r="EX46" s="93">
        <f>IF($B19&lt;&gt;"-",$AC19*DR19/SUM(EX7:EX24),0)</f>
        <v>0</v>
      </c>
      <c r="EY46" s="93">
        <f>IF($B20&lt;&gt;"-",$AC20*DR20/SUM(EY7:EY24),0)</f>
        <v>0</v>
      </c>
      <c r="EZ46" s="93">
        <f>IF($B21&lt;&gt;"-",$AC21*DR21/SUM(EZ7:EZ24),0)</f>
        <v>0</v>
      </c>
      <c r="FA46" s="93">
        <f>IF($B22&lt;&gt;"-",$AC22*DR22/SUM(FA7:FA24),0)</f>
        <v>0</v>
      </c>
      <c r="FB46" s="93">
        <f>IF($B23&lt;&gt;"-",$AC23*DR23/SUM(FB7:FB24),0)</f>
        <v>0</v>
      </c>
      <c r="FC46" s="93">
        <f>IF($B24&lt;&gt;"-",$AC24*DR24/SUM(FC7:FC24),0)</f>
        <v>0</v>
      </c>
      <c r="FD46" s="184" t="e">
        <f>IF($B7&lt;&gt;"-",$AD7*DS7/SUM(FD7:FD24),0)</f>
        <v>#DIV/0!</v>
      </c>
      <c r="FE46" s="93" t="e">
        <f>IF($B8&lt;&gt;"-",$AD8*DS8/SUM(FE7:FE24),0)</f>
        <v>#DIV/0!</v>
      </c>
      <c r="FF46" s="93" t="e">
        <f>IF($B9&lt;&gt;"-",$AD9*DS9/SUM(FF7:FF24),0)</f>
        <v>#DIV/0!</v>
      </c>
      <c r="FG46" s="93" t="e">
        <f>IF($B10&lt;&gt;"-",$AD10*DS10/SUM(FG7:FG24),0)</f>
        <v>#DIV/0!</v>
      </c>
      <c r="FH46" s="93" t="e">
        <f>IF($B11&lt;&gt;"-",$AD11*DS11/SUM(FH7:FH24),0)</f>
        <v>#DIV/0!</v>
      </c>
      <c r="FI46" s="93" t="e">
        <f>IF($B12&lt;&gt;"-",$AD12*DS12/SUM(FI7:FI24),0)</f>
        <v>#DIV/0!</v>
      </c>
      <c r="FJ46" s="93" t="e">
        <f>IF($B13&lt;&gt;"-",$AD13*DS13/SUM(FJ7:FJ24),0)</f>
        <v>#DIV/0!</v>
      </c>
      <c r="FK46" s="93">
        <f>IF($B14&lt;&gt;"-",$AD14*DS14/SUM(FK7:FK24),0)</f>
        <v>0</v>
      </c>
      <c r="FL46" s="93">
        <f>IF($B15&lt;&gt;"-",$AD15*DS15/SUM(FL7:FL24),0)</f>
        <v>0</v>
      </c>
      <c r="FM46" s="93">
        <f>IF($B16&lt;&gt;"-",$AD16*DS16/SUM(FM7:FM24),0)</f>
        <v>0</v>
      </c>
      <c r="FN46" s="93">
        <f>IF($B17&lt;&gt;"-",$AD17*DS17/SUM(FN7:FN24),0)</f>
        <v>0</v>
      </c>
      <c r="FO46" s="93">
        <f>IF($B18&lt;&gt;"-",$AD18*DS18/SUM(FO7:FO24),0)</f>
        <v>0</v>
      </c>
      <c r="FP46" s="93">
        <f>IF($B19&lt;&gt;"-",$AD19*DS19/SUM(FP7:FP24),0)</f>
        <v>0</v>
      </c>
      <c r="FQ46" s="93">
        <f>IF($B20&lt;&gt;"-",$AD20*DS20/SUM(FQ7:FQ24),0)</f>
        <v>0</v>
      </c>
      <c r="FR46" s="93">
        <f>IF($B21&lt;&gt;"-",$AD21*DS21/SUM(FR7:FR24),0)</f>
        <v>0</v>
      </c>
      <c r="FS46" s="93">
        <f>IF($B22&lt;&gt;"-",$AD22*DS22/SUM(FS7:FS24),0)</f>
        <v>0</v>
      </c>
      <c r="FT46" s="93">
        <f>IF($B23&lt;&gt;"-",$AD23*DS23/SUM(FT7:FT24),0)</f>
        <v>0</v>
      </c>
      <c r="FU46" s="93">
        <f>IF($B24&lt;&gt;"-",$AD24*DS24/SUM(FU7:FU24),0)</f>
        <v>0</v>
      </c>
      <c r="FV46" s="41"/>
      <c r="FY46" s="41"/>
      <c r="GB46" s="41"/>
      <c r="GE46" s="41"/>
    </row>
    <row r="47" spans="2:189" ht="15" customHeight="1">
      <c r="B47" s="164">
        <f>'Process DS'!I16</f>
        <v>0</v>
      </c>
      <c r="C47" s="170">
        <f t="shared" si="146"/>
        <v>0</v>
      </c>
      <c r="D47" s="76">
        <f t="shared" si="147"/>
        <v>0</v>
      </c>
      <c r="E47" s="83">
        <f t="shared" si="148"/>
        <v>0</v>
      </c>
      <c r="F47" s="168">
        <f t="shared" si="143"/>
        <v>0</v>
      </c>
      <c r="H47" s="84">
        <f t="shared" si="144"/>
        <v>0</v>
      </c>
      <c r="I47" s="83">
        <f t="shared" si="145"/>
        <v>0</v>
      </c>
      <c r="J47" s="169" t="s">
        <v>329</v>
      </c>
      <c r="AE47" s="34" t="s">
        <v>330</v>
      </c>
      <c r="AF47" s="33"/>
      <c r="AG47" s="33"/>
      <c r="AH47" s="35"/>
      <c r="AI47" s="33"/>
      <c r="AJ47" s="33"/>
      <c r="AK47" s="35"/>
      <c r="AL47" s="37"/>
      <c r="AM47" s="37"/>
      <c r="AN47" s="35"/>
      <c r="AO47" s="33"/>
      <c r="AP47" s="33"/>
      <c r="AQ47" s="33"/>
      <c r="AR47" s="33"/>
      <c r="AS47" s="37"/>
      <c r="AT47" s="35"/>
      <c r="AU47" s="37"/>
      <c r="AV47" s="37"/>
      <c r="AW47" s="37"/>
      <c r="AX47" s="37"/>
      <c r="AY47" s="37"/>
      <c r="AZ47" s="35"/>
      <c r="BA47" s="33"/>
      <c r="BB47" s="33"/>
      <c r="BC47" s="36"/>
      <c r="BF47" s="38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80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8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6"/>
      <c r="DS47" s="38"/>
      <c r="DT47" s="93">
        <f>SUM(DT46:EK46)</f>
        <v>168.18045225125221</v>
      </c>
      <c r="DU47" s="94">
        <f>DT47*0.000001*100</f>
        <v>1.6818045225125217E-2</v>
      </c>
      <c r="DV47" s="98">
        <f>DU47/1000</f>
        <v>1.6818045225125217E-5</v>
      </c>
      <c r="DW47" s="185" t="s">
        <v>331</v>
      </c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183"/>
      <c r="EL47" s="93">
        <f>SUM(EL46:FC46)</f>
        <v>136.49987761186381</v>
      </c>
      <c r="EM47" s="94">
        <f>EL47*0.000001*100</f>
        <v>1.3649987761186378E-2</v>
      </c>
      <c r="EN47" s="98">
        <f>EM47/1000</f>
        <v>1.3649987761186379E-5</v>
      </c>
      <c r="EO47" s="185" t="s">
        <v>331</v>
      </c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184" t="e">
        <f>SUM(FD46:FU46)</f>
        <v>#DIV/0!</v>
      </c>
      <c r="FE47" s="94" t="e">
        <f>FD47*0.000001*100</f>
        <v>#DIV/0!</v>
      </c>
      <c r="FF47" s="98" t="e">
        <f>FE47/1000</f>
        <v>#DIV/0!</v>
      </c>
      <c r="FG47" s="185" t="s">
        <v>331</v>
      </c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41"/>
      <c r="FY47" s="41"/>
      <c r="GB47" s="41"/>
      <c r="GE47" s="41"/>
    </row>
    <row r="48" spans="2:189" ht="15" customHeight="1">
      <c r="B48" s="164">
        <f>'Process DS'!I17</f>
        <v>0</v>
      </c>
      <c r="C48" s="170">
        <f t="shared" si="146"/>
        <v>0</v>
      </c>
      <c r="D48" s="76">
        <f t="shared" si="147"/>
        <v>0</v>
      </c>
      <c r="E48" s="83">
        <f t="shared" si="148"/>
        <v>0</v>
      </c>
      <c r="F48" s="168">
        <f t="shared" si="143"/>
        <v>0</v>
      </c>
      <c r="H48" s="84">
        <f t="shared" si="144"/>
        <v>0</v>
      </c>
      <c r="I48" s="83">
        <f t="shared" si="145"/>
        <v>0</v>
      </c>
      <c r="J48" s="169" t="s">
        <v>332</v>
      </c>
      <c r="AE48" s="34" t="s">
        <v>333</v>
      </c>
      <c r="AF48" s="33"/>
      <c r="AG48" s="33"/>
      <c r="AH48" s="35"/>
      <c r="AI48" s="33"/>
      <c r="AJ48" s="33"/>
      <c r="AK48" s="35"/>
      <c r="AL48" s="37"/>
      <c r="AM48" s="37"/>
      <c r="AN48" s="35"/>
      <c r="AO48" s="33"/>
      <c r="AP48" s="33"/>
      <c r="AQ48" s="33"/>
      <c r="AR48" s="33"/>
      <c r="AS48" s="37"/>
      <c r="AT48" s="35"/>
      <c r="AU48" s="37"/>
      <c r="AV48" s="37"/>
      <c r="AW48" s="37"/>
      <c r="AX48" s="37"/>
      <c r="AY48" s="37"/>
      <c r="AZ48" s="35"/>
      <c r="BA48" s="33"/>
      <c r="BB48" s="33"/>
      <c r="BC48" s="36"/>
      <c r="BF48" s="38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8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8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6"/>
      <c r="DS48" s="38"/>
      <c r="DV48" s="89">
        <f>DV47/AF27</f>
        <v>3.3358838429808438E-5</v>
      </c>
      <c r="DW48" s="89">
        <f>DV48*3600/0.3048/0.3048</f>
        <v>1.2926575744702258</v>
      </c>
      <c r="DX48" s="32" t="s">
        <v>334</v>
      </c>
      <c r="EK48" s="38"/>
      <c r="EN48" s="89">
        <f>EN47/AG27</f>
        <v>2.3093989061570098E-6</v>
      </c>
      <c r="EO48" s="89">
        <f>EN48*3600/0.3048/0.3048</f>
        <v>8.9489386592357306E-2</v>
      </c>
      <c r="EP48" s="32" t="s">
        <v>334</v>
      </c>
      <c r="FD48" s="40"/>
      <c r="FF48" s="89" t="e">
        <f>FF47/AH27</f>
        <v>#DIV/0!</v>
      </c>
      <c r="FG48" s="89" t="e">
        <f>FF48*3600/0.3048/0.3048</f>
        <v>#DIV/0!</v>
      </c>
      <c r="FH48" s="32" t="s">
        <v>334</v>
      </c>
      <c r="FV48" s="41"/>
      <c r="FY48" s="41"/>
      <c r="GB48" s="41"/>
      <c r="GE48" s="41"/>
    </row>
    <row r="49" spans="2:187" ht="12.75">
      <c r="B49" s="164">
        <f>'Process DS'!I18</f>
        <v>0</v>
      </c>
      <c r="C49" s="170">
        <f t="shared" si="146"/>
        <v>0</v>
      </c>
      <c r="D49" s="76">
        <f t="shared" si="147"/>
        <v>0</v>
      </c>
      <c r="E49" s="83">
        <f t="shared" si="148"/>
        <v>0</v>
      </c>
      <c r="F49" s="168">
        <f t="shared" si="143"/>
        <v>0</v>
      </c>
      <c r="H49" s="84">
        <f t="shared" si="144"/>
        <v>0</v>
      </c>
      <c r="I49" s="83">
        <f t="shared" si="145"/>
        <v>0</v>
      </c>
      <c r="J49" s="169" t="s">
        <v>335</v>
      </c>
      <c r="AE49" s="47" t="s">
        <v>336</v>
      </c>
      <c r="AH49" s="36"/>
      <c r="AK49" s="36"/>
      <c r="AL49" s="39"/>
      <c r="AM49" s="39"/>
      <c r="AN49" s="36"/>
      <c r="AS49" s="39"/>
      <c r="AT49" s="36"/>
      <c r="AU49" s="39"/>
      <c r="AV49" s="39"/>
      <c r="AW49" s="39"/>
      <c r="AX49" s="39"/>
      <c r="AY49" s="39"/>
      <c r="AZ49" s="36"/>
      <c r="BC49" s="36"/>
      <c r="BF49" s="38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8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8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6"/>
      <c r="DS49" s="38"/>
      <c r="EK49" s="38"/>
      <c r="FD49" s="40"/>
      <c r="FV49" s="41"/>
      <c r="FY49" s="41"/>
      <c r="GB49" s="41"/>
      <c r="GE49" s="41"/>
    </row>
    <row r="50" spans="2:187" ht="12.75">
      <c r="B50" s="164">
        <f>'Process DS'!I19</f>
        <v>0</v>
      </c>
      <c r="C50" s="170">
        <f t="shared" si="146"/>
        <v>0</v>
      </c>
      <c r="D50" s="76">
        <f t="shared" si="147"/>
        <v>0</v>
      </c>
      <c r="E50" s="83">
        <f t="shared" si="148"/>
        <v>0</v>
      </c>
      <c r="F50" s="168">
        <f t="shared" si="143"/>
        <v>0</v>
      </c>
      <c r="H50" s="84">
        <f t="shared" si="144"/>
        <v>0</v>
      </c>
      <c r="I50" s="83">
        <f t="shared" si="145"/>
        <v>0</v>
      </c>
      <c r="J50" s="169" t="s">
        <v>337</v>
      </c>
      <c r="AE50" s="47" t="s">
        <v>338</v>
      </c>
      <c r="AH50" s="36"/>
      <c r="AK50" s="36"/>
      <c r="AL50" s="39"/>
      <c r="AM50" s="39"/>
      <c r="AN50" s="36"/>
      <c r="AS50" s="39"/>
      <c r="AT50" s="36"/>
      <c r="AU50" s="39"/>
      <c r="AV50" s="39"/>
      <c r="AW50" s="39"/>
      <c r="AX50" s="39"/>
      <c r="AY50" s="39"/>
      <c r="AZ50" s="36"/>
      <c r="BC50" s="36"/>
      <c r="BF50" s="38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8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8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6"/>
      <c r="DS50" s="38"/>
      <c r="EK50" s="38"/>
      <c r="FD50" s="40"/>
      <c r="FV50" s="101" t="str">
        <f t="shared" ref="FV50:GA50" si="149">IF(SUM(FV7:FV24)&gt;0,"YES","NO")</f>
        <v>NO</v>
      </c>
      <c r="FW50" s="102" t="str">
        <f t="shared" si="149"/>
        <v>NO</v>
      </c>
      <c r="FX50" s="102" t="str">
        <f t="shared" si="149"/>
        <v>NO</v>
      </c>
      <c r="FY50" s="101" t="str">
        <f t="shared" si="149"/>
        <v>NO</v>
      </c>
      <c r="FZ50" s="102" t="str">
        <f t="shared" si="149"/>
        <v>NO</v>
      </c>
      <c r="GA50" s="102" t="e">
        <f t="shared" si="149"/>
        <v>#DIV/0!</v>
      </c>
      <c r="GB50" s="101" t="str">
        <f>IF(SUM(GB8:GB24)&gt;0,"YES","NO")</f>
        <v>NO</v>
      </c>
      <c r="GC50" s="102" t="str">
        <f>IF(SUM(GC8:GC24)&gt;0,"YES","NO")</f>
        <v>NO</v>
      </c>
      <c r="GD50" s="102" t="e">
        <f>IF(SUM(GD8:GD24)&gt;0,"YES","NO")</f>
        <v>#DIV/0!</v>
      </c>
      <c r="GE50" s="41"/>
    </row>
    <row r="51" spans="2:187" ht="12.75">
      <c r="B51" s="164">
        <f>'Process DS'!I20</f>
        <v>0</v>
      </c>
      <c r="C51" s="170">
        <f t="shared" si="146"/>
        <v>0</v>
      </c>
      <c r="D51" s="76">
        <f t="shared" si="147"/>
        <v>0</v>
      </c>
      <c r="E51" s="83">
        <f t="shared" si="148"/>
        <v>0</v>
      </c>
      <c r="F51" s="168">
        <f t="shared" si="143"/>
        <v>0</v>
      </c>
      <c r="H51" s="84">
        <f t="shared" si="144"/>
        <v>0</v>
      </c>
      <c r="I51" s="83">
        <f t="shared" si="145"/>
        <v>0</v>
      </c>
      <c r="J51" s="169" t="s">
        <v>339</v>
      </c>
    </row>
    <row r="52" spans="2:187" ht="12.75">
      <c r="B52" s="164">
        <f>'Process DS'!I21</f>
        <v>0</v>
      </c>
      <c r="C52" s="170">
        <f t="shared" si="146"/>
        <v>0</v>
      </c>
      <c r="D52" s="76">
        <f t="shared" si="147"/>
        <v>0</v>
      </c>
      <c r="E52" s="83">
        <f t="shared" si="148"/>
        <v>0</v>
      </c>
      <c r="F52" s="168">
        <f t="shared" si="143"/>
        <v>0</v>
      </c>
      <c r="H52" s="84">
        <f t="shared" si="144"/>
        <v>0</v>
      </c>
      <c r="I52" s="83">
        <f t="shared" si="145"/>
        <v>0</v>
      </c>
      <c r="J52" s="169" t="s">
        <v>340</v>
      </c>
    </row>
    <row r="53" spans="2:187" ht="12.75">
      <c r="B53" s="164">
        <f>'Process DS'!I22</f>
        <v>0</v>
      </c>
      <c r="C53" s="170">
        <f t="shared" si="146"/>
        <v>0</v>
      </c>
      <c r="D53" s="76">
        <f t="shared" si="147"/>
        <v>0</v>
      </c>
      <c r="E53" s="83">
        <f t="shared" si="148"/>
        <v>0</v>
      </c>
      <c r="F53" s="168">
        <f t="shared" si="143"/>
        <v>0</v>
      </c>
      <c r="H53" s="84">
        <f t="shared" si="144"/>
        <v>0</v>
      </c>
      <c r="I53" s="83">
        <f t="shared" si="145"/>
        <v>0</v>
      </c>
      <c r="J53" s="169" t="s">
        <v>341</v>
      </c>
    </row>
    <row r="54" spans="2:187" ht="12.75">
      <c r="B54" s="186">
        <f>'Process DS'!I23</f>
        <v>0</v>
      </c>
      <c r="C54" s="187">
        <f t="shared" si="146"/>
        <v>0</v>
      </c>
      <c r="D54" s="187">
        <f t="shared" si="147"/>
        <v>0</v>
      </c>
      <c r="E54" s="113">
        <f t="shared" si="148"/>
        <v>0</v>
      </c>
      <c r="F54" s="186">
        <f t="shared" si="143"/>
        <v>0</v>
      </c>
      <c r="H54" s="113">
        <f t="shared" si="144"/>
        <v>0</v>
      </c>
      <c r="I54" s="113">
        <f t="shared" si="145"/>
        <v>0</v>
      </c>
      <c r="J54" s="188" t="s">
        <v>342</v>
      </c>
      <c r="K54" s="134"/>
      <c r="L54" s="134"/>
      <c r="M54" s="134"/>
    </row>
    <row r="55" spans="2:187" ht="12.75">
      <c r="B55" s="164">
        <f>SUM(B38:B54)</f>
        <v>99.999979999999994</v>
      </c>
      <c r="C55" s="76">
        <f>SUM(C38:C54)</f>
        <v>0.99999979999999999</v>
      </c>
      <c r="D55" s="76">
        <f>SUM(D38:D54)</f>
        <v>0.24983726036114509</v>
      </c>
      <c r="E55" s="83">
        <f>SUM(E38:E54)</f>
        <v>99.999979999999994</v>
      </c>
      <c r="F55" s="164">
        <f>SUM(F37:F54)</f>
        <v>4.0026248119000005</v>
      </c>
      <c r="H55" s="83">
        <f>SUM(H37:H54)</f>
        <v>100</v>
      </c>
      <c r="I55" s="83">
        <f>SUM(I37:I54)</f>
        <v>99.999999999999986</v>
      </c>
      <c r="J55" s="32" t="s">
        <v>343</v>
      </c>
    </row>
    <row r="56" spans="2:187" ht="12.75">
      <c r="B56" s="164">
        <f>IF(B32=1,0,IF(B32=2,'Process DS'!I6,IF(B32=3,'Process DS'!I6/10000,0)))</f>
        <v>2.0000000000000002E-5</v>
      </c>
    </row>
    <row r="57" spans="2:187" ht="12.75">
      <c r="B57" s="164">
        <f>B56+B55</f>
        <v>100</v>
      </c>
    </row>
    <row r="60" spans="2:187" ht="12.75">
      <c r="B60" s="147" t="s">
        <v>344</v>
      </c>
      <c r="C60" s="147" t="s">
        <v>345</v>
      </c>
      <c r="D60" s="147" t="s">
        <v>346</v>
      </c>
      <c r="G60" s="43" t="s">
        <v>347</v>
      </c>
    </row>
    <row r="61" spans="2:187" ht="12.75">
      <c r="B61" s="96">
        <v>-130</v>
      </c>
      <c r="C61" s="96">
        <f>5*(B61-32)/9</f>
        <v>-90</v>
      </c>
      <c r="D61" s="174">
        <v>0.1</v>
      </c>
      <c r="G61" s="189">
        <v>5.6774400000000003E-7</v>
      </c>
      <c r="H61" s="32" t="s">
        <v>348</v>
      </c>
    </row>
    <row r="62" spans="2:187" ht="12.75">
      <c r="B62" s="190">
        <f>B61+1</f>
        <v>-129</v>
      </c>
      <c r="C62" s="96">
        <f t="shared" ref="C62:C125" si="150">5*(B62-32)/9</f>
        <v>-89.444444444444443</v>
      </c>
      <c r="D62" s="191">
        <f t="shared" ref="D62:D70" si="151">$G$65+$G$64*B62+$G$63*B62^2+$G$62*B62^3+$G$61*B62^4</f>
        <v>0.10969518266395539</v>
      </c>
      <c r="G62" s="189">
        <v>3.0799020000000002E-4</v>
      </c>
      <c r="H62" s="32" t="s">
        <v>349</v>
      </c>
    </row>
    <row r="63" spans="2:187" ht="12.75">
      <c r="B63" s="190">
        <f t="shared" ref="B63:B70" si="152">B62+1</f>
        <v>-128</v>
      </c>
      <c r="C63" s="96">
        <f t="shared" si="150"/>
        <v>-88.888888888888886</v>
      </c>
      <c r="D63" s="191">
        <f t="shared" si="151"/>
        <v>0.12025114086395661</v>
      </c>
      <c r="G63" s="189">
        <v>6.2928280000000003E-2</v>
      </c>
      <c r="H63" s="32" t="s">
        <v>350</v>
      </c>
    </row>
    <row r="64" spans="2:187" ht="12.75">
      <c r="B64" s="190">
        <f t="shared" si="152"/>
        <v>-127</v>
      </c>
      <c r="C64" s="96">
        <f t="shared" si="150"/>
        <v>-88.333333333333329</v>
      </c>
      <c r="D64" s="191">
        <f t="shared" si="151"/>
        <v>0.1317513333040381</v>
      </c>
      <c r="G64" s="189">
        <v>5.7448980000000001</v>
      </c>
      <c r="H64" s="32" t="s">
        <v>351</v>
      </c>
    </row>
    <row r="65" spans="2:16" ht="12.75">
      <c r="B65" s="190">
        <f t="shared" si="152"/>
        <v>-126</v>
      </c>
      <c r="C65" s="96">
        <f t="shared" si="150"/>
        <v>-87.777777777777771</v>
      </c>
      <c r="D65" s="191">
        <f t="shared" si="151"/>
        <v>0.14430640454409627</v>
      </c>
      <c r="G65" s="189">
        <v>197.94990000000001</v>
      </c>
      <c r="H65" s="32" t="s">
        <v>352</v>
      </c>
    </row>
    <row r="66" spans="2:16" ht="12.75">
      <c r="B66" s="190">
        <f t="shared" si="152"/>
        <v>-125</v>
      </c>
      <c r="C66" s="96">
        <f t="shared" si="150"/>
        <v>-87.222222222222229</v>
      </c>
      <c r="D66" s="191">
        <f t="shared" si="151"/>
        <v>0.15804062500001237</v>
      </c>
      <c r="G66" s="32">
        <f>IF('Process DS'!R6='Process DB'!C64,1,IF('Process DS'!R6='Process DB'!C65,2,0))</f>
        <v>1</v>
      </c>
      <c r="H66" s="32" t="s">
        <v>353</v>
      </c>
    </row>
    <row r="67" spans="2:16" ht="12.75">
      <c r="B67" s="190">
        <f t="shared" si="152"/>
        <v>-124</v>
      </c>
      <c r="C67" s="96">
        <f t="shared" si="150"/>
        <v>-86.666666666666671</v>
      </c>
      <c r="D67" s="191">
        <f t="shared" si="151"/>
        <v>0.17309189094410726</v>
      </c>
      <c r="G67" s="159">
        <f>IF(G66=1,(9*'Process DS'!P6/5+32),IF(G66=2,'Process DS'!P6,0))</f>
        <v>-104.80000000000001</v>
      </c>
      <c r="H67" s="32" t="s">
        <v>354</v>
      </c>
    </row>
    <row r="68" spans="2:16" ht="12.75">
      <c r="B68" s="190">
        <f t="shared" si="152"/>
        <v>-123</v>
      </c>
      <c r="C68" s="96">
        <f t="shared" si="150"/>
        <v>-86.111111111111114</v>
      </c>
      <c r="D68" s="191">
        <f t="shared" si="151"/>
        <v>0.1896117245039477</v>
      </c>
      <c r="G68" s="159">
        <f>IF(G66=1,ROUNDDOWN((9*'Process DS'!P6/5+32),0),IF(G66=2,ROUNDDOWN('Process DS'!P6,0),0))</f>
        <v>-104</v>
      </c>
      <c r="H68" s="32" t="s">
        <v>355</v>
      </c>
    </row>
    <row r="69" spans="2:16" ht="12.75">
      <c r="B69" s="190">
        <f t="shared" si="152"/>
        <v>-122</v>
      </c>
      <c r="C69" s="96">
        <f t="shared" si="150"/>
        <v>-85.555555555555557</v>
      </c>
      <c r="D69" s="191">
        <f t="shared" si="151"/>
        <v>0.20776527366403741</v>
      </c>
      <c r="G69" s="159">
        <f>IF(G66=1,ROUNDUP((9*'Process DS'!P6/5+32),0),IF(G66=2,ROUNDUP('Process DS'!P6,0),0))</f>
        <v>-105</v>
      </c>
      <c r="H69" s="32" t="s">
        <v>356</v>
      </c>
    </row>
    <row r="70" spans="2:16" ht="12.75">
      <c r="B70" s="190">
        <f t="shared" si="152"/>
        <v>-121</v>
      </c>
      <c r="C70" s="96">
        <f t="shared" si="150"/>
        <v>-85</v>
      </c>
      <c r="D70" s="191">
        <f t="shared" si="151"/>
        <v>0.22773131226401233</v>
      </c>
      <c r="G70" s="80">
        <f>IF(G66&lt;&gt;0,VLOOKUP(G68,$B$61:$D$188,3),0)</f>
        <v>1.08</v>
      </c>
      <c r="H70" s="32" t="s">
        <v>357</v>
      </c>
    </row>
    <row r="71" spans="2:16" ht="12.75">
      <c r="B71" s="96">
        <f>B61+10</f>
        <v>-120</v>
      </c>
      <c r="C71" s="96">
        <f>5*(B71-32)/9</f>
        <v>-84.444444444444443</v>
      </c>
      <c r="D71" s="174">
        <v>0.25</v>
      </c>
      <c r="G71" s="80">
        <f>IF(G66&lt;&gt;0,VLOOKUP(G69,$B$61:$D$188,3),0)</f>
        <v>1</v>
      </c>
      <c r="H71" s="32" t="s">
        <v>358</v>
      </c>
    </row>
    <row r="72" spans="2:16" ht="12.75">
      <c r="B72" s="190">
        <f t="shared" ref="B72:B80" si="153">B71+1</f>
        <v>-119</v>
      </c>
      <c r="C72" s="96">
        <f t="shared" si="150"/>
        <v>-83.888888888888886</v>
      </c>
      <c r="D72" s="191">
        <f t="shared" ref="D72:D80" si="154">$G$65+$G$64*B72+$G$63*B72^2+$G$62*B72^3+$G$61*B72^4</f>
        <v>0.27388408242403273</v>
      </c>
      <c r="G72" s="80">
        <f>IF((G69-G68)&lt;&gt;0,G70+(G67-G68)*(G71-G70)/(G69-G68),G70)</f>
        <v>1.0159999999999991</v>
      </c>
      <c r="H72" s="32" t="s">
        <v>359</v>
      </c>
    </row>
    <row r="73" spans="2:16" ht="12.75">
      <c r="B73" s="190">
        <f t="shared" si="153"/>
        <v>-118</v>
      </c>
      <c r="C73" s="96">
        <f t="shared" si="150"/>
        <v>-83.333333333333329</v>
      </c>
      <c r="D73" s="191">
        <f t="shared" si="154"/>
        <v>0.30049649094401332</v>
      </c>
      <c r="G73" s="80">
        <f>IF('Process DS'!R6='Process DB'!C66,'Process DS'!P6*10000,IF('Process DS'!R6='Process DB'!C67,'Process DS'!P6*10000,IF('Process DS'!R6='Process DB'!C68,'Process DS'!P6*10000,0)))</f>
        <v>0</v>
      </c>
      <c r="H73" s="32" t="s">
        <v>360</v>
      </c>
    </row>
    <row r="74" spans="2:16" ht="12.75">
      <c r="B74" s="190">
        <f t="shared" si="153"/>
        <v>-117</v>
      </c>
      <c r="C74" s="96">
        <f t="shared" si="150"/>
        <v>-82.777777777777771</v>
      </c>
      <c r="D74" s="191">
        <f t="shared" si="154"/>
        <v>0.32977274282404778</v>
      </c>
      <c r="G74" s="80">
        <f>IF('Process DS'!R6='Process DB'!C69,'Process DS'!P6,IF('Process DS'!R6='Process DB'!C70,'Process DS'!P6,IF('Process DS'!R6='Process DB'!C71,'Process DS'!P6,0)))</f>
        <v>0</v>
      </c>
      <c r="H74" s="32" t="s">
        <v>361</v>
      </c>
    </row>
    <row r="75" spans="2:16" ht="12.75">
      <c r="B75" s="190">
        <f t="shared" si="153"/>
        <v>-116</v>
      </c>
      <c r="C75" s="96">
        <f t="shared" si="150"/>
        <v>-82.222222222222229</v>
      </c>
      <c r="D75" s="191">
        <f t="shared" si="154"/>
        <v>0.36195974118396634</v>
      </c>
      <c r="G75" s="80">
        <f>IF(B32=0,0,SUM(G72:G74))</f>
        <v>1.0159999999999991</v>
      </c>
      <c r="H75" s="32" t="s">
        <v>362</v>
      </c>
    </row>
    <row r="76" spans="2:16" ht="12.75">
      <c r="B76" s="190">
        <f t="shared" si="153"/>
        <v>-115</v>
      </c>
      <c r="C76" s="96">
        <f t="shared" si="150"/>
        <v>-81.666666666666671</v>
      </c>
      <c r="D76" s="191">
        <f t="shared" si="154"/>
        <v>0.39731801500008146</v>
      </c>
      <c r="L76" s="50" t="s">
        <v>18</v>
      </c>
      <c r="M76" s="50" t="s">
        <v>363</v>
      </c>
      <c r="N76" s="50" t="s">
        <v>364</v>
      </c>
      <c r="O76" s="50" t="s">
        <v>297</v>
      </c>
      <c r="P76" s="50" t="s">
        <v>297</v>
      </c>
    </row>
    <row r="77" spans="2:16" ht="12.75">
      <c r="B77" s="190">
        <f t="shared" si="153"/>
        <v>-114</v>
      </c>
      <c r="C77" s="96">
        <f t="shared" si="150"/>
        <v>-81.111111111111114</v>
      </c>
      <c r="D77" s="191">
        <f t="shared" si="154"/>
        <v>0.4361217191039799</v>
      </c>
      <c r="G77" s="192">
        <f>G75/10000</f>
        <v>1.0159999999999991E-4</v>
      </c>
      <c r="H77" s="32" t="s">
        <v>365</v>
      </c>
    </row>
    <row r="78" spans="2:16" ht="12.75">
      <c r="B78" s="190">
        <f t="shared" si="153"/>
        <v>-113</v>
      </c>
      <c r="C78" s="96">
        <f t="shared" si="150"/>
        <v>-80.555555555555557</v>
      </c>
      <c r="D78" s="191">
        <f t="shared" si="154"/>
        <v>0.47865863418397225</v>
      </c>
      <c r="G78" s="76">
        <f>IF('Process DS'!R7='Process DB'!$C$78,'Process DS'!P7/10000,'Process DS'!P7)</f>
        <v>99.95</v>
      </c>
      <c r="H78" s="32" t="s">
        <v>366</v>
      </c>
    </row>
    <row r="79" spans="2:16" ht="12.75">
      <c r="B79" s="190">
        <f t="shared" si="153"/>
        <v>-112</v>
      </c>
      <c r="C79" s="96">
        <f t="shared" si="150"/>
        <v>-80</v>
      </c>
      <c r="D79" s="191">
        <f t="shared" si="154"/>
        <v>0.52523016678401291</v>
      </c>
      <c r="G79" s="76">
        <f>IF('Process DS'!R8='Process DB'!$C$78,'Process DS'!P8/10000,'Process DS'!P8)</f>
        <v>4.8999999999999998E-3</v>
      </c>
      <c r="H79" s="32" t="s">
        <v>367</v>
      </c>
      <c r="L79" s="50">
        <f>IF('Process DS'!S8='Process DB'!$C$81,1,IF('Process DS'!S8='Process DB'!$C$82,2,IF('Process DS'!S8='Process DB'!$C$83,3,0)))</f>
        <v>2</v>
      </c>
      <c r="M79" s="193">
        <f>IF(L79=1,G79,0)</f>
        <v>0</v>
      </c>
      <c r="N79" s="193">
        <f>IF(L79=2,G79,0)</f>
        <v>4.8999999999999998E-3</v>
      </c>
      <c r="O79" s="193">
        <f>IF(L79=3,G79,0)</f>
        <v>0</v>
      </c>
      <c r="P79" s="194">
        <f>IF(L79=3,G79/$O$95,0)</f>
        <v>0</v>
      </c>
    </row>
    <row r="80" spans="2:16" ht="12.75">
      <c r="B80" s="190">
        <f t="shared" si="153"/>
        <v>-111</v>
      </c>
      <c r="C80" s="96">
        <f t="shared" si="150"/>
        <v>-79.444444444444443</v>
      </c>
      <c r="D80" s="191">
        <f t="shared" si="154"/>
        <v>0.57615134930401268</v>
      </c>
      <c r="G80" s="76">
        <f>IF('Process DS'!R9='Process DB'!$C$78,'Process DS'!P9/10000,'Process DS'!P9)</f>
        <v>1E-4</v>
      </c>
      <c r="H80" s="32" t="s">
        <v>368</v>
      </c>
      <c r="L80" s="50">
        <f>IF('Process DS'!S9='Process DB'!$C$81,1,IF('Process DS'!S9='Process DB'!$C$82,2,IF('Process DS'!S9='Process DB'!$C$83,3,0)))</f>
        <v>3</v>
      </c>
      <c r="M80" s="193">
        <f t="shared" ref="M80:M94" si="155">IF(L80=1,G80,0)</f>
        <v>0</v>
      </c>
      <c r="N80" s="193">
        <f t="shared" ref="N80:N94" si="156">IF(L80=2,G80,0)</f>
        <v>0</v>
      </c>
      <c r="O80" s="195">
        <f t="shared" ref="O80:O94" si="157">IF(L80=3,G80,0)</f>
        <v>1E-4</v>
      </c>
      <c r="P80" s="194">
        <f t="shared" ref="P80:P94" si="158">IF(L80=3,G80/$O$95,0)</f>
        <v>1.6638935108153079E-3</v>
      </c>
    </row>
    <row r="81" spans="2:16" ht="12.75">
      <c r="B81" s="96">
        <f>B71+10</f>
        <v>-110</v>
      </c>
      <c r="C81" s="96">
        <f>5*(B81-32)/9</f>
        <v>-78.888888888888886</v>
      </c>
      <c r="D81" s="174">
        <v>0.63</v>
      </c>
      <c r="G81" s="76">
        <f>IF('Process DS'!R10='Process DB'!$C$78,'Process DS'!P10/10000,'Process DS'!P10)</f>
        <v>0.03</v>
      </c>
      <c r="H81" s="32" t="s">
        <v>369</v>
      </c>
      <c r="L81" s="50">
        <f>IF('Process DS'!S10='Process DB'!$C$81,1,IF('Process DS'!S10='Process DB'!$C$82,2,IF('Process DS'!S10='Process DB'!$C$83,3,0)))</f>
        <v>3</v>
      </c>
      <c r="M81" s="193">
        <f t="shared" si="155"/>
        <v>0</v>
      </c>
      <c r="N81" s="193">
        <f t="shared" si="156"/>
        <v>0</v>
      </c>
      <c r="O81" s="195">
        <f t="shared" si="157"/>
        <v>0.03</v>
      </c>
      <c r="P81" s="194">
        <f t="shared" si="158"/>
        <v>0.49916805324459235</v>
      </c>
    </row>
    <row r="82" spans="2:16" ht="12.75">
      <c r="B82" s="190">
        <f>B81+1</f>
        <v>-109</v>
      </c>
      <c r="C82" s="96">
        <f t="shared" si="150"/>
        <v>-78.333333333333329</v>
      </c>
      <c r="D82" s="191">
        <f>$G$65+$G$64*B82+$G$63*B82^2+$G$62*B82^3+$G$61*B82^4</f>
        <v>0.69237092298403979</v>
      </c>
      <c r="G82" s="76">
        <f>IF('Process DS'!R11='Process DB'!$C$78,'Process DS'!P11/10000,'Process DS'!P11)</f>
        <v>0.03</v>
      </c>
      <c r="H82" s="32" t="s">
        <v>370</v>
      </c>
      <c r="L82" s="50">
        <f>IF('Process DS'!S11='Process DB'!$C$81,1,IF('Process DS'!S11='Process DB'!$C$82,2,IF('Process DS'!S11='Process DB'!$C$83,3,0)))</f>
        <v>3</v>
      </c>
      <c r="M82" s="193">
        <f t="shared" si="155"/>
        <v>0</v>
      </c>
      <c r="N82" s="193">
        <f t="shared" si="156"/>
        <v>0</v>
      </c>
      <c r="O82" s="195">
        <f t="shared" si="157"/>
        <v>0.03</v>
      </c>
      <c r="P82" s="194">
        <f t="shared" si="158"/>
        <v>0.49916805324459235</v>
      </c>
    </row>
    <row r="83" spans="2:16" ht="12.75">
      <c r="B83" s="190">
        <f>B82+1</f>
        <v>-108</v>
      </c>
      <c r="C83" s="96">
        <f t="shared" si="150"/>
        <v>-77.777777777777771</v>
      </c>
      <c r="D83" s="191">
        <f>$G$65+$G$64*B83+$G$63*B83^2+$G$62*B83^3+$G$61*B83^4</f>
        <v>0.75836750822405463</v>
      </c>
      <c r="G83" s="76">
        <f>IF('Process DS'!R12='Process DB'!$C$78,'Process DS'!P12/10000,'Process DS'!P12)</f>
        <v>0</v>
      </c>
      <c r="H83" s="32" t="s">
        <v>371</v>
      </c>
      <c r="L83" s="50">
        <f>IF('Process DS'!S12='Process DB'!$C$81,1,IF('Process DS'!S12='Process DB'!$C$82,2,IF('Process DS'!S12='Process DB'!$C$83,3,0)))</f>
        <v>0</v>
      </c>
      <c r="M83" s="193">
        <f t="shared" si="155"/>
        <v>0</v>
      </c>
      <c r="N83" s="193">
        <f t="shared" si="156"/>
        <v>0</v>
      </c>
      <c r="O83" s="195">
        <f t="shared" si="157"/>
        <v>0</v>
      </c>
      <c r="P83" s="194">
        <f t="shared" si="158"/>
        <v>0</v>
      </c>
    </row>
    <row r="84" spans="2:16" ht="12.75">
      <c r="B84" s="190">
        <f>B83+1</f>
        <v>-107</v>
      </c>
      <c r="C84" s="96">
        <f t="shared" si="150"/>
        <v>-77.222222222222229</v>
      </c>
      <c r="D84" s="191">
        <f>$G$65+$G$64*B84+$G$63*B84^2+$G$62*B84^3+$G$61*B84^4</f>
        <v>0.8301101315440178</v>
      </c>
      <c r="G84" s="76">
        <f>IF('Process DS'!R13='Process DB'!$C$78,'Process DS'!P13/10000,'Process DS'!P13)</f>
        <v>0</v>
      </c>
      <c r="H84" s="32" t="s">
        <v>372</v>
      </c>
      <c r="L84" s="50">
        <f>IF('Process DS'!S13='Process DB'!$C$81,1,IF('Process DS'!S13='Process DB'!$C$82,2,IF('Process DS'!S13='Process DB'!$C$83,3,0)))</f>
        <v>0</v>
      </c>
      <c r="M84" s="193">
        <f t="shared" si="155"/>
        <v>0</v>
      </c>
      <c r="N84" s="193">
        <f t="shared" si="156"/>
        <v>0</v>
      </c>
      <c r="O84" s="195">
        <f t="shared" si="157"/>
        <v>0</v>
      </c>
      <c r="P84" s="194">
        <f t="shared" si="158"/>
        <v>0</v>
      </c>
    </row>
    <row r="85" spans="2:16" ht="12.75">
      <c r="B85" s="190">
        <f>B84+1</f>
        <v>-106</v>
      </c>
      <c r="C85" s="96">
        <f t="shared" si="150"/>
        <v>-76.666666666666671</v>
      </c>
      <c r="D85" s="191">
        <f>$G$65+$G$64*B85+$G$63*B85^2+$G$62*B85^3+$G$61*B85^4</f>
        <v>0.90798195462396336</v>
      </c>
      <c r="G85" s="76">
        <f>IF('Process DS'!R14='Process DB'!$C$78,'Process DS'!P14/10000,'Process DS'!P14)</f>
        <v>0</v>
      </c>
      <c r="H85" s="32" t="s">
        <v>373</v>
      </c>
      <c r="L85" s="50">
        <f>IF('Process DS'!S14='Process DB'!$C$81,1,IF('Process DS'!S14='Process DB'!$C$82,2,IF('Process DS'!S14='Process DB'!$C$83,3,0)))</f>
        <v>0</v>
      </c>
      <c r="M85" s="193">
        <f t="shared" si="155"/>
        <v>0</v>
      </c>
      <c r="N85" s="193">
        <f t="shared" si="156"/>
        <v>0</v>
      </c>
      <c r="O85" s="195">
        <f t="shared" si="157"/>
        <v>0</v>
      </c>
      <c r="P85" s="194">
        <f t="shared" si="158"/>
        <v>0</v>
      </c>
    </row>
    <row r="86" spans="2:16" ht="12.75">
      <c r="B86" s="96">
        <f>B81+5</f>
        <v>-105</v>
      </c>
      <c r="C86" s="96">
        <f t="shared" si="150"/>
        <v>-76.111111111111114</v>
      </c>
      <c r="D86" s="174">
        <v>1</v>
      </c>
      <c r="G86" s="76">
        <f>IF('Process DS'!R15='Process DB'!$C$78,'Process DS'!P15/10000,'Process DS'!P15)</f>
        <v>0</v>
      </c>
      <c r="H86" s="32" t="s">
        <v>374</v>
      </c>
      <c r="L86" s="50">
        <f>IF('Process DS'!S15='Process DB'!$C$81,1,IF('Process DS'!S15='Process DB'!$C$82,2,IF('Process DS'!S15='Process DB'!$C$83,3,0)))</f>
        <v>0</v>
      </c>
      <c r="M86" s="193">
        <f t="shared" si="155"/>
        <v>0</v>
      </c>
      <c r="N86" s="193">
        <f t="shared" si="156"/>
        <v>0</v>
      </c>
      <c r="O86" s="195">
        <f t="shared" si="157"/>
        <v>0</v>
      </c>
      <c r="P86" s="194">
        <f t="shared" si="158"/>
        <v>0</v>
      </c>
    </row>
    <row r="87" spans="2:16" ht="12.75">
      <c r="B87" s="96">
        <f>B86+1</f>
        <v>-104</v>
      </c>
      <c r="C87" s="96">
        <f t="shared" si="150"/>
        <v>-75.555555555555557</v>
      </c>
      <c r="D87" s="174">
        <v>1.08</v>
      </c>
      <c r="G87" s="76">
        <f>IF('Process DS'!R16='Process DB'!$C$78,'Process DS'!P16/10000,'Process DS'!P16)</f>
        <v>0</v>
      </c>
      <c r="H87" s="32" t="s">
        <v>375</v>
      </c>
      <c r="L87" s="50">
        <f>IF('Process DS'!S16='Process DB'!$C$81,1,IF('Process DS'!S16='Process DB'!$C$82,2,IF('Process DS'!S16='Process DB'!$C$83,3,0)))</f>
        <v>0</v>
      </c>
      <c r="M87" s="193">
        <f t="shared" si="155"/>
        <v>0</v>
      </c>
      <c r="N87" s="193">
        <f t="shared" si="156"/>
        <v>0</v>
      </c>
      <c r="O87" s="195">
        <f t="shared" si="157"/>
        <v>0</v>
      </c>
      <c r="P87" s="194">
        <f t="shared" si="158"/>
        <v>0</v>
      </c>
    </row>
    <row r="88" spans="2:16" ht="12.75">
      <c r="B88" s="96">
        <f t="shared" ref="B88:B151" si="159">B87+1</f>
        <v>-103</v>
      </c>
      <c r="C88" s="96">
        <f t="shared" si="150"/>
        <v>-75</v>
      </c>
      <c r="D88" s="174">
        <v>1.18</v>
      </c>
      <c r="G88" s="76">
        <f>IF('Process DS'!R17='Process DB'!$C$78,'Process DS'!P17/10000,'Process DS'!P17)</f>
        <v>0</v>
      </c>
      <c r="H88" s="32" t="s">
        <v>376</v>
      </c>
      <c r="L88" s="50">
        <f>IF('Process DS'!S17='Process DB'!$C$81,1,IF('Process DS'!S17='Process DB'!$C$82,2,IF('Process DS'!S17='Process DB'!$C$83,3,0)))</f>
        <v>0</v>
      </c>
      <c r="M88" s="193">
        <f t="shared" si="155"/>
        <v>0</v>
      </c>
      <c r="N88" s="193">
        <f t="shared" si="156"/>
        <v>0</v>
      </c>
      <c r="O88" s="195">
        <f t="shared" si="157"/>
        <v>0</v>
      </c>
      <c r="P88" s="194">
        <f t="shared" si="158"/>
        <v>0</v>
      </c>
    </row>
    <row r="89" spans="2:16" ht="12.75">
      <c r="B89" s="96">
        <f t="shared" si="159"/>
        <v>-102</v>
      </c>
      <c r="C89" s="96">
        <f t="shared" si="150"/>
        <v>-74.444444444444443</v>
      </c>
      <c r="D89" s="174">
        <v>1.29</v>
      </c>
      <c r="G89" s="76">
        <f>IF('Process DS'!R18='Process DB'!$C$78,'Process DS'!P18/10000,'Process DS'!P18)</f>
        <v>0</v>
      </c>
      <c r="H89" s="32" t="s">
        <v>377</v>
      </c>
      <c r="L89" s="50">
        <f>IF('Process DS'!S18='Process DB'!$C$81,1,IF('Process DS'!S18='Process DB'!$C$82,2,IF('Process DS'!S18='Process DB'!$C$83,3,0)))</f>
        <v>0</v>
      </c>
      <c r="M89" s="193">
        <f t="shared" si="155"/>
        <v>0</v>
      </c>
      <c r="N89" s="193">
        <f t="shared" si="156"/>
        <v>0</v>
      </c>
      <c r="O89" s="195">
        <f t="shared" si="157"/>
        <v>0</v>
      </c>
      <c r="P89" s="194">
        <f t="shared" si="158"/>
        <v>0</v>
      </c>
    </row>
    <row r="90" spans="2:16" ht="12.75">
      <c r="B90" s="96">
        <f t="shared" si="159"/>
        <v>-101</v>
      </c>
      <c r="C90" s="96">
        <f t="shared" si="150"/>
        <v>-73.888888888888886</v>
      </c>
      <c r="D90" s="174">
        <v>1.4</v>
      </c>
      <c r="G90" s="76">
        <f>IF('Process DS'!R19='Process DB'!$C$78,'Process DS'!P19/10000,'Process DS'!P19)</f>
        <v>0</v>
      </c>
      <c r="H90" s="32" t="s">
        <v>378</v>
      </c>
      <c r="L90" s="50">
        <f>IF('Process DS'!S19='Process DB'!$C$81,1,IF('Process DS'!S19='Process DB'!$C$82,2,IF('Process DS'!S19='Process DB'!$C$83,3,0)))</f>
        <v>0</v>
      </c>
      <c r="M90" s="193">
        <f t="shared" si="155"/>
        <v>0</v>
      </c>
      <c r="N90" s="193">
        <f t="shared" si="156"/>
        <v>0</v>
      </c>
      <c r="O90" s="195">
        <f t="shared" si="157"/>
        <v>0</v>
      </c>
      <c r="P90" s="194">
        <f t="shared" si="158"/>
        <v>0</v>
      </c>
    </row>
    <row r="91" spans="2:16" ht="12.75">
      <c r="B91" s="96">
        <f t="shared" si="159"/>
        <v>-100</v>
      </c>
      <c r="C91" s="96">
        <f t="shared" si="150"/>
        <v>-73.333333333333329</v>
      </c>
      <c r="D91" s="174">
        <v>1.53</v>
      </c>
      <c r="G91" s="76">
        <f>IF('Process DS'!R20='Process DB'!$C$78,'Process DS'!P20/10000,'Process DS'!P20)</f>
        <v>0</v>
      </c>
      <c r="H91" s="32" t="s">
        <v>379</v>
      </c>
      <c r="L91" s="50">
        <f>IF('Process DS'!S20='Process DB'!$C$81,1,IF('Process DS'!S20='Process DB'!$C$82,2,IF('Process DS'!S20='Process DB'!$C$83,3,0)))</f>
        <v>0</v>
      </c>
      <c r="M91" s="193">
        <f t="shared" si="155"/>
        <v>0</v>
      </c>
      <c r="N91" s="193">
        <f t="shared" si="156"/>
        <v>0</v>
      </c>
      <c r="O91" s="195">
        <f t="shared" si="157"/>
        <v>0</v>
      </c>
      <c r="P91" s="194">
        <f t="shared" si="158"/>
        <v>0</v>
      </c>
    </row>
    <row r="92" spans="2:16" ht="12.75">
      <c r="B92" s="96">
        <f t="shared" si="159"/>
        <v>-99</v>
      </c>
      <c r="C92" s="96">
        <f t="shared" si="150"/>
        <v>-72.777777777777771</v>
      </c>
      <c r="D92" s="174">
        <v>1.66</v>
      </c>
      <c r="G92" s="76">
        <f>IF('Process DS'!R21='Process DB'!$C$78,'Process DS'!P21/10000,'Process DS'!P21)</f>
        <v>0</v>
      </c>
      <c r="H92" s="32" t="s">
        <v>380</v>
      </c>
      <c r="L92" s="50">
        <f>IF('Process DS'!S21='Process DB'!$C$81,1,IF('Process DS'!S21='Process DB'!$C$82,2,IF('Process DS'!S21='Process DB'!$C$83,3,0)))</f>
        <v>0</v>
      </c>
      <c r="M92" s="193">
        <f t="shared" si="155"/>
        <v>0</v>
      </c>
      <c r="N92" s="193">
        <f t="shared" si="156"/>
        <v>0</v>
      </c>
      <c r="O92" s="195">
        <f t="shared" si="157"/>
        <v>0</v>
      </c>
      <c r="P92" s="194">
        <f t="shared" si="158"/>
        <v>0</v>
      </c>
    </row>
    <row r="93" spans="2:16" ht="12.75">
      <c r="B93" s="96">
        <f t="shared" si="159"/>
        <v>-98</v>
      </c>
      <c r="C93" s="96">
        <f t="shared" si="150"/>
        <v>-72.222222222222229</v>
      </c>
      <c r="D93" s="174">
        <v>1.81</v>
      </c>
      <c r="G93" s="76">
        <f>IF('Process DS'!R22='Process DB'!$C$78,'Process DS'!P22/10000,'Process DS'!P22)</f>
        <v>0</v>
      </c>
      <c r="H93" s="32" t="s">
        <v>381</v>
      </c>
      <c r="L93" s="50">
        <f>IF('Process DS'!S22='Process DB'!$C$81,1,IF('Process DS'!S22='Process DB'!$C$82,2,IF('Process DS'!S22='Process DB'!$C$83,3,0)))</f>
        <v>0</v>
      </c>
      <c r="M93" s="193">
        <f t="shared" si="155"/>
        <v>0</v>
      </c>
      <c r="N93" s="193">
        <f t="shared" si="156"/>
        <v>0</v>
      </c>
      <c r="O93" s="195">
        <f t="shared" si="157"/>
        <v>0</v>
      </c>
      <c r="P93" s="194">
        <f t="shared" si="158"/>
        <v>0</v>
      </c>
    </row>
    <row r="94" spans="2:16" ht="12.75">
      <c r="B94" s="96">
        <f t="shared" si="159"/>
        <v>-97</v>
      </c>
      <c r="C94" s="96">
        <f t="shared" si="150"/>
        <v>-71.666666666666671</v>
      </c>
      <c r="D94" s="174">
        <v>1.96</v>
      </c>
      <c r="G94" s="187">
        <f>IF('Process DS'!R23='Process DB'!$C$78,'Process DS'!P23/10000,'Process DS'!P23)</f>
        <v>0</v>
      </c>
      <c r="H94" s="134" t="s">
        <v>382</v>
      </c>
      <c r="I94" s="134"/>
      <c r="J94" s="134"/>
      <c r="K94" s="134"/>
      <c r="L94" s="131">
        <f>IF('Process DS'!S23='Process DB'!$C$81,1,IF('Process DS'!S23='Process DB'!$C$82,2,IF('Process DS'!S23='Process DB'!$C$83,3,0)))</f>
        <v>0</v>
      </c>
      <c r="M94" s="196">
        <f t="shared" si="155"/>
        <v>0</v>
      </c>
      <c r="N94" s="196">
        <f t="shared" si="156"/>
        <v>0</v>
      </c>
      <c r="O94" s="196">
        <f t="shared" si="157"/>
        <v>0</v>
      </c>
      <c r="P94" s="123">
        <f t="shared" si="158"/>
        <v>0</v>
      </c>
    </row>
    <row r="95" spans="2:16" ht="12.75">
      <c r="B95" s="96">
        <f t="shared" si="159"/>
        <v>-96</v>
      </c>
      <c r="C95" s="96">
        <f t="shared" si="150"/>
        <v>-71.111111111111114</v>
      </c>
      <c r="D95" s="174">
        <v>2.15</v>
      </c>
      <c r="G95" s="76"/>
      <c r="M95" s="193">
        <f>SUM(M79:M94)</f>
        <v>0</v>
      </c>
      <c r="N95" s="193">
        <f>SUM(N79:N94)</f>
        <v>4.8999999999999998E-3</v>
      </c>
      <c r="O95" s="193">
        <f>SUM(O79:O94)</f>
        <v>6.0100000000000001E-2</v>
      </c>
      <c r="P95" s="94">
        <f>SUM(P79:P94)</f>
        <v>1</v>
      </c>
    </row>
    <row r="96" spans="2:16" ht="12.75">
      <c r="B96" s="96">
        <f t="shared" si="159"/>
        <v>-95</v>
      </c>
      <c r="C96" s="96">
        <f t="shared" si="150"/>
        <v>-70.555555555555557</v>
      </c>
      <c r="D96" s="174">
        <v>2.35</v>
      </c>
      <c r="G96" s="76">
        <f>100-G77-G78-M95-N95</f>
        <v>4.4998400000003561E-2</v>
      </c>
      <c r="H96" s="32" t="s">
        <v>383</v>
      </c>
    </row>
    <row r="97" spans="2:11" ht="12.75">
      <c r="B97" s="96">
        <f t="shared" si="159"/>
        <v>-94</v>
      </c>
      <c r="C97" s="96">
        <f t="shared" si="150"/>
        <v>-70</v>
      </c>
      <c r="D97" s="174">
        <v>2.54</v>
      </c>
    </row>
    <row r="98" spans="2:11" ht="12.75">
      <c r="B98" s="96">
        <f t="shared" si="159"/>
        <v>-93</v>
      </c>
      <c r="C98" s="96">
        <f t="shared" si="150"/>
        <v>-69.444444444444443</v>
      </c>
      <c r="D98" s="174">
        <v>2.76</v>
      </c>
      <c r="G98" s="76"/>
    </row>
    <row r="99" spans="2:11" ht="12.75">
      <c r="B99" s="96">
        <f t="shared" si="159"/>
        <v>-92</v>
      </c>
      <c r="C99" s="96">
        <f t="shared" si="150"/>
        <v>-68.888888888888886</v>
      </c>
      <c r="D99" s="174">
        <v>3</v>
      </c>
    </row>
    <row r="100" spans="2:11" ht="12.75">
      <c r="B100" s="96">
        <f t="shared" si="159"/>
        <v>-91</v>
      </c>
      <c r="C100" s="96">
        <f t="shared" si="150"/>
        <v>-68.333333333333329</v>
      </c>
      <c r="D100" s="174">
        <v>3.28</v>
      </c>
    </row>
    <row r="101" spans="2:11" ht="12.75">
      <c r="B101" s="96">
        <f t="shared" si="159"/>
        <v>-90</v>
      </c>
      <c r="C101" s="96">
        <f t="shared" si="150"/>
        <v>-67.777777777777771</v>
      </c>
      <c r="D101" s="174">
        <v>3.53</v>
      </c>
      <c r="G101" s="170">
        <f t="shared" ref="G101:G118" si="160">I101*C7/100</f>
        <v>1.8303524479999982E-5</v>
      </c>
      <c r="I101" s="76">
        <f>G77</f>
        <v>1.0159999999999991E-4</v>
      </c>
      <c r="J101" s="83">
        <f>100*G101/$G$119</f>
        <v>4.1596671295590689E-5</v>
      </c>
      <c r="K101" s="32" t="s">
        <v>384</v>
      </c>
    </row>
    <row r="102" spans="2:11" ht="12.75">
      <c r="B102" s="96">
        <f t="shared" si="159"/>
        <v>-89</v>
      </c>
      <c r="C102" s="96">
        <f t="shared" si="150"/>
        <v>-67.222222222222229</v>
      </c>
      <c r="D102" s="174">
        <v>3.84</v>
      </c>
      <c r="G102" s="170">
        <f t="shared" si="160"/>
        <v>43.987495250000002</v>
      </c>
      <c r="I102" s="76">
        <f>G78</f>
        <v>99.95</v>
      </c>
      <c r="J102" s="83">
        <f t="shared" ref="J102:J118" si="161">100*G102/$G$119</f>
        <v>99.966177717845113</v>
      </c>
      <c r="K102" s="39" t="s">
        <v>385</v>
      </c>
    </row>
    <row r="103" spans="2:11" ht="12.75">
      <c r="B103" s="96">
        <f t="shared" si="159"/>
        <v>-88</v>
      </c>
      <c r="C103" s="96">
        <f t="shared" si="150"/>
        <v>-66.666666666666671</v>
      </c>
      <c r="D103" s="174">
        <v>4.1500000000000004</v>
      </c>
      <c r="G103" s="170">
        <f t="shared" si="160"/>
        <v>1.3724949E-3</v>
      </c>
      <c r="I103" s="170">
        <f t="shared" ref="I103:I118" si="162">IF(L79=1,M79,IF(L79=2,N79,IF(L79=3,P79*$G$96,0)))</f>
        <v>4.8999999999999998E-3</v>
      </c>
      <c r="J103" s="83">
        <f t="shared" si="161"/>
        <v>3.1191380257150707E-3</v>
      </c>
      <c r="K103" s="39" t="s">
        <v>386</v>
      </c>
    </row>
    <row r="104" spans="2:11" ht="12.75">
      <c r="B104" s="96">
        <f t="shared" si="159"/>
        <v>-87</v>
      </c>
      <c r="C104" s="96">
        <f t="shared" si="150"/>
        <v>-66.111111111111114</v>
      </c>
      <c r="D104" s="174">
        <v>4.5</v>
      </c>
      <c r="G104" s="170">
        <f t="shared" si="160"/>
        <v>1.2011398204060848E-5</v>
      </c>
      <c r="I104" s="170">
        <f t="shared" si="162"/>
        <v>7.4872545757077467E-5</v>
      </c>
      <c r="J104" s="83">
        <f t="shared" si="161"/>
        <v>2.7297157082545007E-5</v>
      </c>
      <c r="K104" s="39" t="s">
        <v>387</v>
      </c>
    </row>
    <row r="105" spans="2:11" ht="12.75">
      <c r="B105" s="96">
        <f t="shared" si="159"/>
        <v>-86</v>
      </c>
      <c r="C105" s="96">
        <f t="shared" si="150"/>
        <v>-65.555555555555557</v>
      </c>
      <c r="D105" s="174">
        <v>1.78</v>
      </c>
      <c r="G105" s="170">
        <f t="shared" si="160"/>
        <v>6.2923037199339423E-3</v>
      </c>
      <c r="I105" s="170">
        <f t="shared" si="162"/>
        <v>2.2461763727123243E-2</v>
      </c>
      <c r="J105" s="83">
        <f t="shared" si="161"/>
        <v>1.4299917473058992E-2</v>
      </c>
      <c r="K105" s="39" t="s">
        <v>388</v>
      </c>
    </row>
    <row r="106" spans="2:11" ht="12.75">
      <c r="B106" s="96">
        <f t="shared" si="159"/>
        <v>-85</v>
      </c>
      <c r="C106" s="96">
        <f t="shared" si="150"/>
        <v>-65</v>
      </c>
      <c r="D106" s="96">
        <v>5.3</v>
      </c>
      <c r="G106" s="170">
        <f t="shared" si="160"/>
        <v>7.187494851514712E-3</v>
      </c>
      <c r="I106" s="170">
        <f t="shared" si="162"/>
        <v>2.2461763727123243E-2</v>
      </c>
      <c r="J106" s="83">
        <f t="shared" si="161"/>
        <v>1.6334332827751007E-2</v>
      </c>
      <c r="K106" s="39" t="s">
        <v>389</v>
      </c>
    </row>
    <row r="107" spans="2:11" ht="12.75">
      <c r="B107" s="96">
        <f t="shared" si="159"/>
        <v>-84</v>
      </c>
      <c r="C107" s="96">
        <f t="shared" si="150"/>
        <v>-64.444444444444443</v>
      </c>
      <c r="D107" s="96">
        <v>5.7</v>
      </c>
      <c r="G107" s="170">
        <f t="shared" si="160"/>
        <v>0</v>
      </c>
      <c r="I107" s="170">
        <f t="shared" si="162"/>
        <v>0</v>
      </c>
      <c r="J107" s="83">
        <f t="shared" si="161"/>
        <v>0</v>
      </c>
      <c r="K107" s="39" t="s">
        <v>390</v>
      </c>
    </row>
    <row r="108" spans="2:11" ht="12.75">
      <c r="B108" s="96">
        <f t="shared" si="159"/>
        <v>-83</v>
      </c>
      <c r="C108" s="96">
        <f t="shared" si="150"/>
        <v>-63.888888888888886</v>
      </c>
      <c r="D108" s="96">
        <v>6.2</v>
      </c>
      <c r="G108" s="170">
        <f t="shared" si="160"/>
        <v>0</v>
      </c>
      <c r="I108" s="170">
        <f t="shared" si="162"/>
        <v>0</v>
      </c>
      <c r="J108" s="83">
        <f t="shared" si="161"/>
        <v>0</v>
      </c>
      <c r="K108" s="39" t="s">
        <v>391</v>
      </c>
    </row>
    <row r="109" spans="2:11" ht="12.75">
      <c r="B109" s="96">
        <f t="shared" si="159"/>
        <v>-82</v>
      </c>
      <c r="C109" s="96">
        <f t="shared" si="150"/>
        <v>-63.333333333333336</v>
      </c>
      <c r="D109" s="96">
        <v>6.6</v>
      </c>
      <c r="G109" s="170">
        <f t="shared" si="160"/>
        <v>0</v>
      </c>
      <c r="I109" s="170">
        <f t="shared" si="162"/>
        <v>0</v>
      </c>
      <c r="J109" s="83">
        <f t="shared" si="161"/>
        <v>0</v>
      </c>
      <c r="K109" s="39" t="s">
        <v>392</v>
      </c>
    </row>
    <row r="110" spans="2:11" ht="12.75">
      <c r="B110" s="96">
        <f t="shared" si="159"/>
        <v>-81</v>
      </c>
      <c r="C110" s="96">
        <f t="shared" si="150"/>
        <v>-62.777777777777779</v>
      </c>
      <c r="D110" s="96">
        <v>7.2</v>
      </c>
      <c r="G110" s="170">
        <f t="shared" si="160"/>
        <v>0</v>
      </c>
      <c r="I110" s="170">
        <f t="shared" si="162"/>
        <v>0</v>
      </c>
      <c r="J110" s="83">
        <f t="shared" si="161"/>
        <v>0</v>
      </c>
      <c r="K110" s="39" t="s">
        <v>393</v>
      </c>
    </row>
    <row r="111" spans="2:11" ht="12.75">
      <c r="B111" s="96">
        <f t="shared" si="159"/>
        <v>-80</v>
      </c>
      <c r="C111" s="96">
        <f t="shared" si="150"/>
        <v>-62.222222222222221</v>
      </c>
      <c r="D111" s="96">
        <v>7.8</v>
      </c>
      <c r="G111" s="170">
        <f t="shared" si="160"/>
        <v>0</v>
      </c>
      <c r="I111" s="170">
        <f t="shared" si="162"/>
        <v>0</v>
      </c>
      <c r="J111" s="83">
        <f t="shared" si="161"/>
        <v>0</v>
      </c>
      <c r="K111" s="39" t="s">
        <v>394</v>
      </c>
    </row>
    <row r="112" spans="2:11" ht="12.75">
      <c r="B112" s="96">
        <f t="shared" si="159"/>
        <v>-79</v>
      </c>
      <c r="C112" s="96">
        <f t="shared" si="150"/>
        <v>-61.666666666666664</v>
      </c>
      <c r="D112" s="96">
        <v>8.4</v>
      </c>
      <c r="G112" s="170">
        <f t="shared" si="160"/>
        <v>0</v>
      </c>
      <c r="I112" s="170">
        <f t="shared" si="162"/>
        <v>0</v>
      </c>
      <c r="J112" s="83">
        <f t="shared" si="161"/>
        <v>0</v>
      </c>
      <c r="K112" s="39" t="s">
        <v>395</v>
      </c>
    </row>
    <row r="113" spans="2:15" ht="12.75">
      <c r="B113" s="96">
        <f t="shared" si="159"/>
        <v>-78</v>
      </c>
      <c r="C113" s="96">
        <f t="shared" si="150"/>
        <v>-61.111111111111114</v>
      </c>
      <c r="D113" s="96">
        <v>9.1</v>
      </c>
      <c r="G113" s="170">
        <f t="shared" si="160"/>
        <v>0</v>
      </c>
      <c r="I113" s="170">
        <f t="shared" si="162"/>
        <v>0</v>
      </c>
      <c r="J113" s="83">
        <f t="shared" si="161"/>
        <v>0</v>
      </c>
      <c r="K113" s="39" t="s">
        <v>396</v>
      </c>
    </row>
    <row r="114" spans="2:15" ht="12.75">
      <c r="B114" s="96">
        <f t="shared" si="159"/>
        <v>-77</v>
      </c>
      <c r="C114" s="96">
        <f t="shared" si="150"/>
        <v>-60.555555555555557</v>
      </c>
      <c r="D114" s="96">
        <v>9.8000000000000007</v>
      </c>
      <c r="G114" s="170">
        <f t="shared" si="160"/>
        <v>0</v>
      </c>
      <c r="I114" s="170">
        <f t="shared" si="162"/>
        <v>0</v>
      </c>
      <c r="J114" s="83">
        <f t="shared" si="161"/>
        <v>0</v>
      </c>
      <c r="K114" s="39" t="s">
        <v>397</v>
      </c>
    </row>
    <row r="115" spans="2:15" ht="12.75">
      <c r="B115" s="96">
        <f t="shared" si="159"/>
        <v>-76</v>
      </c>
      <c r="C115" s="96">
        <f t="shared" si="150"/>
        <v>-60</v>
      </c>
      <c r="D115" s="96">
        <v>10.5</v>
      </c>
      <c r="G115" s="170">
        <f t="shared" si="160"/>
        <v>0</v>
      </c>
      <c r="I115" s="170">
        <f t="shared" si="162"/>
        <v>0</v>
      </c>
      <c r="J115" s="83">
        <f t="shared" si="161"/>
        <v>0</v>
      </c>
      <c r="K115" s="39" t="s">
        <v>398</v>
      </c>
    </row>
    <row r="116" spans="2:15" ht="12.75">
      <c r="B116" s="96">
        <f t="shared" si="159"/>
        <v>-75</v>
      </c>
      <c r="C116" s="96">
        <f t="shared" si="150"/>
        <v>-59.444444444444443</v>
      </c>
      <c r="D116" s="96">
        <v>11.4</v>
      </c>
      <c r="G116" s="170">
        <f t="shared" si="160"/>
        <v>0</v>
      </c>
      <c r="I116" s="170">
        <f t="shared" si="162"/>
        <v>0</v>
      </c>
      <c r="J116" s="83">
        <f t="shared" si="161"/>
        <v>0</v>
      </c>
      <c r="K116" s="39" t="s">
        <v>399</v>
      </c>
    </row>
    <row r="117" spans="2:15" ht="12.75">
      <c r="B117" s="96">
        <f t="shared" si="159"/>
        <v>-74</v>
      </c>
      <c r="C117" s="96">
        <f t="shared" si="150"/>
        <v>-58.888888888888886</v>
      </c>
      <c r="D117" s="96">
        <v>12.3</v>
      </c>
      <c r="G117" s="170">
        <f t="shared" si="160"/>
        <v>0</v>
      </c>
      <c r="I117" s="170">
        <f t="shared" si="162"/>
        <v>0</v>
      </c>
      <c r="J117" s="83">
        <f t="shared" si="161"/>
        <v>0</v>
      </c>
      <c r="K117" s="39" t="s">
        <v>400</v>
      </c>
    </row>
    <row r="118" spans="2:15" ht="12.75">
      <c r="B118" s="96">
        <f t="shared" si="159"/>
        <v>-73</v>
      </c>
      <c r="C118" s="96">
        <f t="shared" si="150"/>
        <v>-58.333333333333336</v>
      </c>
      <c r="D118" s="96">
        <v>13.3</v>
      </c>
      <c r="G118" s="187">
        <f t="shared" si="160"/>
        <v>0</v>
      </c>
      <c r="I118" s="187">
        <f t="shared" si="162"/>
        <v>0</v>
      </c>
      <c r="J118" s="113">
        <f t="shared" si="161"/>
        <v>0</v>
      </c>
      <c r="K118" s="134" t="s">
        <v>401</v>
      </c>
      <c r="L118" s="134"/>
      <c r="M118" s="134"/>
      <c r="N118" s="134"/>
      <c r="O118" s="134"/>
    </row>
    <row r="119" spans="2:15" ht="12.75">
      <c r="B119" s="96">
        <f t="shared" si="159"/>
        <v>-72</v>
      </c>
      <c r="C119" s="96">
        <f t="shared" si="150"/>
        <v>-57.777777777777779</v>
      </c>
      <c r="D119" s="96">
        <v>14.3</v>
      </c>
      <c r="G119" s="76">
        <f>SUM(G101:G118)</f>
        <v>44.002377858394127</v>
      </c>
      <c r="I119" s="83">
        <f>SUM(I101:I118)</f>
        <v>100</v>
      </c>
      <c r="J119" s="83">
        <f>SUM(J101:J118)</f>
        <v>100.00000000000001</v>
      </c>
      <c r="K119" s="32" t="s">
        <v>402</v>
      </c>
    </row>
    <row r="120" spans="2:15" ht="12.75">
      <c r="B120" s="96">
        <f t="shared" si="159"/>
        <v>-71</v>
      </c>
      <c r="C120" s="96">
        <f t="shared" si="150"/>
        <v>-57.222222222222221</v>
      </c>
      <c r="D120" s="96">
        <v>15.4</v>
      </c>
    </row>
    <row r="121" spans="2:15" ht="12.75">
      <c r="B121" s="96">
        <f t="shared" si="159"/>
        <v>-70</v>
      </c>
      <c r="C121" s="96">
        <f t="shared" si="150"/>
        <v>-56.666666666666664</v>
      </c>
      <c r="D121" s="96">
        <v>16.5</v>
      </c>
    </row>
    <row r="122" spans="2:15" ht="12.75">
      <c r="B122" s="96">
        <f t="shared" si="159"/>
        <v>-69</v>
      </c>
      <c r="C122" s="96">
        <f t="shared" si="150"/>
        <v>-56.111111111111114</v>
      </c>
      <c r="D122" s="96">
        <v>17.899999999999999</v>
      </c>
    </row>
    <row r="123" spans="2:15" ht="12.75">
      <c r="B123" s="96">
        <f t="shared" si="159"/>
        <v>-68</v>
      </c>
      <c r="C123" s="96">
        <f t="shared" si="150"/>
        <v>-55.555555555555557</v>
      </c>
      <c r="D123" s="96">
        <v>19.2</v>
      </c>
    </row>
    <row r="124" spans="2:15" ht="12.75">
      <c r="B124" s="96">
        <f t="shared" si="159"/>
        <v>-67</v>
      </c>
      <c r="C124" s="96">
        <f t="shared" si="150"/>
        <v>-55</v>
      </c>
      <c r="D124" s="96">
        <v>20.6</v>
      </c>
    </row>
    <row r="125" spans="2:15" ht="12.75">
      <c r="B125" s="96">
        <f t="shared" si="159"/>
        <v>-66</v>
      </c>
      <c r="C125" s="96">
        <f t="shared" si="150"/>
        <v>-54.444444444444443</v>
      </c>
      <c r="D125" s="96">
        <v>22.1</v>
      </c>
    </row>
    <row r="126" spans="2:15" ht="12.75">
      <c r="B126" s="96">
        <f t="shared" si="159"/>
        <v>-65</v>
      </c>
      <c r="C126" s="96">
        <f t="shared" ref="C126:C188" si="163">5*(B126-32)/9</f>
        <v>-53.888888888888886</v>
      </c>
      <c r="D126" s="96">
        <v>23.6</v>
      </c>
    </row>
    <row r="127" spans="2:15" ht="12.75">
      <c r="B127" s="96">
        <f t="shared" si="159"/>
        <v>-64</v>
      </c>
      <c r="C127" s="96">
        <f t="shared" si="163"/>
        <v>-53.333333333333336</v>
      </c>
      <c r="D127" s="96">
        <v>25.6</v>
      </c>
    </row>
    <row r="128" spans="2:15" ht="12.75">
      <c r="B128" s="96">
        <f t="shared" si="159"/>
        <v>-63</v>
      </c>
      <c r="C128" s="96">
        <f t="shared" si="163"/>
        <v>-52.777777777777779</v>
      </c>
      <c r="D128" s="96">
        <v>27.5</v>
      </c>
    </row>
    <row r="129" spans="2:4" ht="12.75">
      <c r="B129" s="96">
        <f t="shared" si="159"/>
        <v>-62</v>
      </c>
      <c r="C129" s="96">
        <f t="shared" si="163"/>
        <v>-52.222222222222221</v>
      </c>
      <c r="D129" s="96">
        <v>29.4</v>
      </c>
    </row>
    <row r="130" spans="2:4" ht="12.75">
      <c r="B130" s="96">
        <f t="shared" si="159"/>
        <v>-61</v>
      </c>
      <c r="C130" s="96">
        <f t="shared" si="163"/>
        <v>-51.666666666666664</v>
      </c>
      <c r="D130" s="96">
        <v>31.7</v>
      </c>
    </row>
    <row r="131" spans="2:4" ht="12.75">
      <c r="B131" s="96">
        <f t="shared" si="159"/>
        <v>-60</v>
      </c>
      <c r="C131" s="96">
        <f t="shared" si="163"/>
        <v>-51.111111111111114</v>
      </c>
      <c r="D131" s="96">
        <v>34</v>
      </c>
    </row>
    <row r="132" spans="2:4" ht="12.75">
      <c r="B132" s="96">
        <f t="shared" si="159"/>
        <v>-59</v>
      </c>
      <c r="C132" s="96">
        <f t="shared" si="163"/>
        <v>-50.555555555555557</v>
      </c>
      <c r="D132" s="96">
        <v>36.5</v>
      </c>
    </row>
    <row r="133" spans="2:4" ht="12.75">
      <c r="B133" s="96">
        <f t="shared" si="159"/>
        <v>-58</v>
      </c>
      <c r="C133" s="96">
        <f t="shared" si="163"/>
        <v>-50</v>
      </c>
      <c r="D133" s="96">
        <v>39</v>
      </c>
    </row>
    <row r="134" spans="2:4" ht="12.75">
      <c r="B134" s="96">
        <f t="shared" si="159"/>
        <v>-57</v>
      </c>
      <c r="C134" s="96">
        <f t="shared" si="163"/>
        <v>-49.444444444444443</v>
      </c>
      <c r="D134" s="96">
        <v>41.8</v>
      </c>
    </row>
    <row r="135" spans="2:4" ht="12.75">
      <c r="B135" s="96">
        <f t="shared" si="159"/>
        <v>-56</v>
      </c>
      <c r="C135" s="96">
        <f t="shared" si="163"/>
        <v>-48.888888888888886</v>
      </c>
      <c r="D135" s="96">
        <v>44.6</v>
      </c>
    </row>
    <row r="136" spans="2:4" ht="12.75">
      <c r="B136" s="96">
        <f t="shared" si="159"/>
        <v>-55</v>
      </c>
      <c r="C136" s="96">
        <f t="shared" si="163"/>
        <v>-48.333333333333336</v>
      </c>
      <c r="D136" s="50">
        <v>48</v>
      </c>
    </row>
    <row r="137" spans="2:4" ht="12.75">
      <c r="B137" s="96">
        <f t="shared" si="159"/>
        <v>-54</v>
      </c>
      <c r="C137" s="96">
        <f t="shared" si="163"/>
        <v>-47.777777777777779</v>
      </c>
      <c r="D137" s="50">
        <v>51</v>
      </c>
    </row>
    <row r="138" spans="2:4" ht="12.75">
      <c r="B138" s="96">
        <f t="shared" si="159"/>
        <v>-53</v>
      </c>
      <c r="C138" s="96">
        <f t="shared" si="163"/>
        <v>-47.222222222222221</v>
      </c>
      <c r="D138" s="50">
        <v>55</v>
      </c>
    </row>
    <row r="139" spans="2:4" ht="12.75">
      <c r="B139" s="96">
        <f t="shared" si="159"/>
        <v>-52</v>
      </c>
      <c r="C139" s="96">
        <f t="shared" si="163"/>
        <v>-46.666666666666664</v>
      </c>
      <c r="D139" s="50">
        <v>59</v>
      </c>
    </row>
    <row r="140" spans="2:4" ht="12.75">
      <c r="B140" s="96">
        <f t="shared" si="159"/>
        <v>-51</v>
      </c>
      <c r="C140" s="96">
        <f t="shared" si="163"/>
        <v>-46.111111111111114</v>
      </c>
      <c r="D140" s="50">
        <v>62</v>
      </c>
    </row>
    <row r="141" spans="2:4" ht="12.75">
      <c r="B141" s="96">
        <f t="shared" si="159"/>
        <v>-50</v>
      </c>
      <c r="C141" s="96">
        <f t="shared" si="163"/>
        <v>-45.555555555555557</v>
      </c>
      <c r="D141" s="50">
        <v>67</v>
      </c>
    </row>
    <row r="142" spans="2:4" ht="12.75">
      <c r="B142" s="96">
        <f t="shared" si="159"/>
        <v>-49</v>
      </c>
      <c r="C142" s="96">
        <f t="shared" si="163"/>
        <v>-45</v>
      </c>
      <c r="D142" s="50">
        <v>72</v>
      </c>
    </row>
    <row r="143" spans="2:4" ht="12.75">
      <c r="B143" s="96">
        <f t="shared" si="159"/>
        <v>-48</v>
      </c>
      <c r="C143" s="96">
        <f t="shared" si="163"/>
        <v>-44.444444444444443</v>
      </c>
      <c r="D143" s="50">
        <v>76</v>
      </c>
    </row>
    <row r="144" spans="2:4" ht="12.75">
      <c r="B144" s="96">
        <f t="shared" si="159"/>
        <v>-47</v>
      </c>
      <c r="C144" s="96">
        <f t="shared" si="163"/>
        <v>-43.888888888888886</v>
      </c>
      <c r="D144" s="50">
        <v>82</v>
      </c>
    </row>
    <row r="145" spans="2:4" ht="12.75">
      <c r="B145" s="96">
        <f t="shared" si="159"/>
        <v>-46</v>
      </c>
      <c r="C145" s="96">
        <f t="shared" si="163"/>
        <v>-43.333333333333336</v>
      </c>
      <c r="D145" s="50">
        <v>87</v>
      </c>
    </row>
    <row r="146" spans="2:4" ht="12.75">
      <c r="B146" s="96">
        <f t="shared" si="159"/>
        <v>-45</v>
      </c>
      <c r="C146" s="96">
        <f t="shared" si="163"/>
        <v>-42.777777777777779</v>
      </c>
      <c r="D146" s="50">
        <v>92</v>
      </c>
    </row>
    <row r="147" spans="2:4" ht="12.75">
      <c r="B147" s="96">
        <f t="shared" si="159"/>
        <v>-44</v>
      </c>
      <c r="C147" s="96">
        <f t="shared" si="163"/>
        <v>-42.222222222222221</v>
      </c>
      <c r="D147" s="50">
        <v>98</v>
      </c>
    </row>
    <row r="148" spans="2:4" ht="12.75">
      <c r="B148" s="96">
        <f t="shared" si="159"/>
        <v>-43</v>
      </c>
      <c r="C148" s="96">
        <f t="shared" si="163"/>
        <v>-41.666666666666664</v>
      </c>
      <c r="D148" s="50">
        <v>105</v>
      </c>
    </row>
    <row r="149" spans="2:4" ht="12.75">
      <c r="B149" s="96">
        <f t="shared" si="159"/>
        <v>-42</v>
      </c>
      <c r="C149" s="96">
        <f t="shared" si="163"/>
        <v>-41.111111111111114</v>
      </c>
      <c r="D149" s="50">
        <v>113</v>
      </c>
    </row>
    <row r="150" spans="2:4" ht="12.75">
      <c r="B150" s="96">
        <f t="shared" si="159"/>
        <v>-41</v>
      </c>
      <c r="C150" s="96">
        <f t="shared" si="163"/>
        <v>-40.555555555555557</v>
      </c>
      <c r="D150" s="50">
        <v>119</v>
      </c>
    </row>
    <row r="151" spans="2:4" ht="12.75">
      <c r="B151" s="96">
        <f t="shared" si="159"/>
        <v>-40</v>
      </c>
      <c r="C151" s="96">
        <f t="shared" si="163"/>
        <v>-40</v>
      </c>
      <c r="D151" s="50">
        <v>128</v>
      </c>
    </row>
    <row r="152" spans="2:4" ht="12.75">
      <c r="B152" s="96">
        <f t="shared" ref="B152:B187" si="164">B151+1</f>
        <v>-39</v>
      </c>
      <c r="C152" s="96">
        <f t="shared" si="163"/>
        <v>-39.444444444444443</v>
      </c>
      <c r="D152" s="50">
        <v>136</v>
      </c>
    </row>
    <row r="153" spans="2:4" ht="12.75">
      <c r="B153" s="96">
        <f t="shared" si="164"/>
        <v>-38</v>
      </c>
      <c r="C153" s="96">
        <f t="shared" si="163"/>
        <v>-38.888888888888886</v>
      </c>
      <c r="D153" s="50">
        <v>144</v>
      </c>
    </row>
    <row r="154" spans="2:4" ht="12.75">
      <c r="B154" s="96">
        <f t="shared" si="164"/>
        <v>-37</v>
      </c>
      <c r="C154" s="96">
        <f t="shared" si="163"/>
        <v>-38.333333333333336</v>
      </c>
      <c r="D154" s="50">
        <v>153</v>
      </c>
    </row>
    <row r="155" spans="2:4" ht="12.75">
      <c r="B155" s="96">
        <f t="shared" si="164"/>
        <v>-36</v>
      </c>
      <c r="C155" s="96">
        <f t="shared" si="163"/>
        <v>-37.777777777777779</v>
      </c>
      <c r="D155" s="50">
        <v>164</v>
      </c>
    </row>
    <row r="156" spans="2:4" ht="12.75">
      <c r="B156" s="96">
        <f t="shared" si="164"/>
        <v>-35</v>
      </c>
      <c r="C156" s="96">
        <f t="shared" si="163"/>
        <v>-37.222222222222221</v>
      </c>
      <c r="D156" s="50">
        <v>174</v>
      </c>
    </row>
    <row r="157" spans="2:4" ht="12.75">
      <c r="B157" s="96">
        <f t="shared" si="164"/>
        <v>-34</v>
      </c>
      <c r="C157" s="96">
        <f t="shared" si="163"/>
        <v>-36.666666666666664</v>
      </c>
      <c r="D157" s="50">
        <v>185</v>
      </c>
    </row>
    <row r="158" spans="2:4" ht="12.75">
      <c r="B158" s="96">
        <f t="shared" si="164"/>
        <v>-33</v>
      </c>
      <c r="C158" s="96">
        <f t="shared" si="163"/>
        <v>-36.111111111111114</v>
      </c>
      <c r="D158" s="50">
        <v>196</v>
      </c>
    </row>
    <row r="159" spans="2:4" ht="12.75">
      <c r="B159" s="96">
        <f t="shared" si="164"/>
        <v>-32</v>
      </c>
      <c r="C159" s="96">
        <f t="shared" si="163"/>
        <v>-35.555555555555557</v>
      </c>
      <c r="D159" s="50">
        <v>210</v>
      </c>
    </row>
    <row r="160" spans="2:4" ht="12.75">
      <c r="B160" s="96">
        <f t="shared" si="164"/>
        <v>-31</v>
      </c>
      <c r="C160" s="96">
        <f t="shared" si="163"/>
        <v>-35</v>
      </c>
      <c r="D160" s="50">
        <v>222</v>
      </c>
    </row>
    <row r="161" spans="2:4" ht="12.75">
      <c r="B161" s="96">
        <f t="shared" si="164"/>
        <v>-30</v>
      </c>
      <c r="C161" s="96">
        <f t="shared" si="163"/>
        <v>-34.444444444444443</v>
      </c>
      <c r="D161" s="50">
        <v>235</v>
      </c>
    </row>
    <row r="162" spans="2:4" ht="12.75">
      <c r="B162" s="96">
        <f t="shared" si="164"/>
        <v>-29</v>
      </c>
      <c r="C162" s="96">
        <f t="shared" si="163"/>
        <v>-33.888888888888886</v>
      </c>
      <c r="D162" s="50">
        <v>250</v>
      </c>
    </row>
    <row r="163" spans="2:4" ht="12.75">
      <c r="B163" s="96">
        <f t="shared" si="164"/>
        <v>-28</v>
      </c>
      <c r="C163" s="96">
        <f t="shared" si="163"/>
        <v>-33.333333333333336</v>
      </c>
      <c r="D163" s="50">
        <v>265</v>
      </c>
    </row>
    <row r="164" spans="2:4" ht="12.75">
      <c r="B164" s="96">
        <f t="shared" si="164"/>
        <v>-27</v>
      </c>
      <c r="C164" s="96">
        <f t="shared" si="163"/>
        <v>-32.777777777777779</v>
      </c>
      <c r="D164" s="50">
        <v>283</v>
      </c>
    </row>
    <row r="165" spans="2:4" ht="12.75">
      <c r="B165" s="96">
        <f t="shared" si="164"/>
        <v>-26</v>
      </c>
      <c r="C165" s="96">
        <f t="shared" si="163"/>
        <v>-32.222222222222221</v>
      </c>
      <c r="D165" s="50">
        <v>300</v>
      </c>
    </row>
    <row r="166" spans="2:4" ht="12.75">
      <c r="B166" s="96">
        <f t="shared" si="164"/>
        <v>-25</v>
      </c>
      <c r="C166" s="96">
        <f t="shared" si="163"/>
        <v>-31.666666666666668</v>
      </c>
      <c r="D166" s="50">
        <v>317</v>
      </c>
    </row>
    <row r="167" spans="2:4" ht="12.75">
      <c r="B167" s="96">
        <f t="shared" si="164"/>
        <v>-24</v>
      </c>
      <c r="C167" s="96">
        <f t="shared" si="163"/>
        <v>-31.111111111111111</v>
      </c>
      <c r="D167" s="50">
        <v>338</v>
      </c>
    </row>
    <row r="168" spans="2:4" ht="12.75">
      <c r="B168" s="96">
        <f t="shared" si="164"/>
        <v>-23</v>
      </c>
      <c r="C168" s="96">
        <f t="shared" si="163"/>
        <v>-30.555555555555557</v>
      </c>
      <c r="D168" s="50">
        <v>358</v>
      </c>
    </row>
    <row r="169" spans="2:4" ht="12.75">
      <c r="B169" s="96">
        <f t="shared" si="164"/>
        <v>-22</v>
      </c>
      <c r="C169" s="96">
        <f t="shared" si="163"/>
        <v>-30</v>
      </c>
      <c r="D169" s="50">
        <v>378</v>
      </c>
    </row>
    <row r="170" spans="2:4" ht="12.75">
      <c r="B170" s="96">
        <f t="shared" si="164"/>
        <v>-21</v>
      </c>
      <c r="C170" s="96">
        <f t="shared" si="163"/>
        <v>-29.444444444444443</v>
      </c>
      <c r="D170" s="50">
        <v>400</v>
      </c>
    </row>
    <row r="171" spans="2:4" ht="12.75">
      <c r="B171" s="96">
        <f t="shared" si="164"/>
        <v>-20</v>
      </c>
      <c r="C171" s="96">
        <f t="shared" si="163"/>
        <v>-28.888888888888889</v>
      </c>
      <c r="D171" s="50">
        <v>422</v>
      </c>
    </row>
    <row r="172" spans="2:4" ht="12.75">
      <c r="B172" s="96">
        <f t="shared" si="164"/>
        <v>-19</v>
      </c>
      <c r="C172" s="96">
        <f t="shared" si="163"/>
        <v>-28.333333333333332</v>
      </c>
      <c r="D172" s="50">
        <v>448</v>
      </c>
    </row>
    <row r="173" spans="2:4" ht="12.75">
      <c r="B173" s="96">
        <f t="shared" si="164"/>
        <v>-18</v>
      </c>
      <c r="C173" s="96">
        <f t="shared" si="163"/>
        <v>-27.777777777777779</v>
      </c>
      <c r="D173" s="50">
        <v>475</v>
      </c>
    </row>
    <row r="174" spans="2:4" ht="12.75">
      <c r="B174" s="96">
        <f t="shared" si="164"/>
        <v>-17</v>
      </c>
      <c r="C174" s="96">
        <f t="shared" si="163"/>
        <v>-27.222222222222221</v>
      </c>
      <c r="D174" s="50">
        <v>500</v>
      </c>
    </row>
    <row r="175" spans="2:4" ht="12.75">
      <c r="B175" s="96">
        <f t="shared" si="164"/>
        <v>-16</v>
      </c>
      <c r="C175" s="96">
        <f t="shared" si="163"/>
        <v>-26.666666666666668</v>
      </c>
      <c r="D175" s="50">
        <v>530</v>
      </c>
    </row>
    <row r="176" spans="2:4" ht="12.75">
      <c r="B176" s="96">
        <f t="shared" si="164"/>
        <v>-15</v>
      </c>
      <c r="C176" s="96">
        <f t="shared" si="163"/>
        <v>-26.111111111111111</v>
      </c>
      <c r="D176" s="50">
        <v>560</v>
      </c>
    </row>
    <row r="177" spans="2:4" ht="12.75">
      <c r="B177" s="96">
        <f t="shared" si="164"/>
        <v>-14</v>
      </c>
      <c r="C177" s="96">
        <f t="shared" si="163"/>
        <v>-25.555555555555557</v>
      </c>
      <c r="D177" s="50">
        <v>590</v>
      </c>
    </row>
    <row r="178" spans="2:4" ht="12.75">
      <c r="B178" s="96">
        <f t="shared" si="164"/>
        <v>-13</v>
      </c>
      <c r="C178" s="96">
        <f t="shared" si="163"/>
        <v>-25</v>
      </c>
      <c r="D178" s="50">
        <v>630</v>
      </c>
    </row>
    <row r="179" spans="2:4" ht="12.75">
      <c r="B179" s="96">
        <f t="shared" si="164"/>
        <v>-12</v>
      </c>
      <c r="C179" s="96">
        <f t="shared" si="163"/>
        <v>-24.444444444444443</v>
      </c>
      <c r="D179" s="50">
        <v>660</v>
      </c>
    </row>
    <row r="180" spans="2:4" ht="12.75">
      <c r="B180" s="96">
        <f t="shared" si="164"/>
        <v>-11</v>
      </c>
      <c r="C180" s="96">
        <f t="shared" si="163"/>
        <v>-23.888888888888889</v>
      </c>
      <c r="D180" s="50">
        <v>700</v>
      </c>
    </row>
    <row r="181" spans="2:4" ht="12.75">
      <c r="B181" s="96">
        <f t="shared" si="164"/>
        <v>-10</v>
      </c>
      <c r="C181" s="96">
        <f t="shared" si="163"/>
        <v>-23.333333333333332</v>
      </c>
      <c r="D181" s="50">
        <v>740</v>
      </c>
    </row>
    <row r="182" spans="2:4" ht="12.75">
      <c r="B182" s="96">
        <f t="shared" si="164"/>
        <v>-9</v>
      </c>
      <c r="C182" s="96">
        <f t="shared" si="163"/>
        <v>-22.777777777777779</v>
      </c>
      <c r="D182" s="50">
        <v>780</v>
      </c>
    </row>
    <row r="183" spans="2:4" ht="12.75">
      <c r="B183" s="96">
        <f t="shared" si="164"/>
        <v>-8</v>
      </c>
      <c r="C183" s="96">
        <f t="shared" si="163"/>
        <v>-22.222222222222221</v>
      </c>
      <c r="D183" s="50">
        <v>820</v>
      </c>
    </row>
    <row r="184" spans="2:4" ht="12.75">
      <c r="B184" s="96">
        <f t="shared" si="164"/>
        <v>-7</v>
      </c>
      <c r="C184" s="96">
        <f t="shared" si="163"/>
        <v>-21.666666666666668</v>
      </c>
      <c r="D184" s="50">
        <v>870</v>
      </c>
    </row>
    <row r="185" spans="2:4" ht="12.75">
      <c r="B185" s="96">
        <f t="shared" si="164"/>
        <v>-6</v>
      </c>
      <c r="C185" s="96">
        <f t="shared" si="163"/>
        <v>-21.111111111111111</v>
      </c>
      <c r="D185" s="50">
        <v>920</v>
      </c>
    </row>
    <row r="186" spans="2:4" ht="12.75">
      <c r="B186" s="96">
        <f t="shared" si="164"/>
        <v>-5</v>
      </c>
      <c r="C186" s="96">
        <f t="shared" si="163"/>
        <v>-20.555555555555557</v>
      </c>
      <c r="D186" s="50">
        <v>970</v>
      </c>
    </row>
    <row r="187" spans="2:4" ht="12.75">
      <c r="B187" s="96">
        <f t="shared" si="164"/>
        <v>-4</v>
      </c>
      <c r="C187" s="96">
        <f t="shared" si="163"/>
        <v>-20</v>
      </c>
      <c r="D187" s="50">
        <v>1020</v>
      </c>
    </row>
    <row r="188" spans="2:4" ht="12.75">
      <c r="B188" s="96">
        <v>0</v>
      </c>
      <c r="C188" s="96">
        <f t="shared" si="163"/>
        <v>-17.777777777777779</v>
      </c>
      <c r="D188" s="50">
        <v>1270</v>
      </c>
    </row>
    <row r="192" spans="2:4" ht="12.75">
      <c r="B192" s="32" t="s">
        <v>403</v>
      </c>
    </row>
    <row r="193" spans="2:14" ht="12.75">
      <c r="D193" s="32">
        <f>IF('Process DS'!G25='Process DB'!C96,1,IF('Process DS'!G25='Process DB'!C97,2,IF('Process DS'!G25='Process DB'!C98,3,IF('Process DS'!G25='Process DB'!C99,4,5))))</f>
        <v>4</v>
      </c>
      <c r="E193" s="32" t="s">
        <v>404</v>
      </c>
    </row>
    <row r="194" spans="2:14" ht="12.75">
      <c r="C194" s="47"/>
      <c r="D194" s="197">
        <f>IF(D193=1,'Process DS'!I25/35.31467,IF(D193=2,'Process DS'!I25,IF(D193=3,'Process DS'!I25*1000000/35.31467/24,0)))</f>
        <v>0</v>
      </c>
      <c r="E194" s="43" t="s">
        <v>405</v>
      </c>
    </row>
    <row r="195" spans="2:14" ht="12.75">
      <c r="C195" s="47"/>
      <c r="D195" s="198">
        <f>IF(D193=1,(273.15+5*(60-32)/9),IF(D193=2,273.15,IF(D193=3,(273.15+5*(60-32)/9),273.15)))</f>
        <v>273.14999999999998</v>
      </c>
      <c r="E195" s="43" t="s">
        <v>406</v>
      </c>
    </row>
    <row r="196" spans="2:14" ht="12.75">
      <c r="C196" s="47"/>
      <c r="D196" s="199">
        <v>101325</v>
      </c>
      <c r="E196" s="43" t="s">
        <v>407</v>
      </c>
    </row>
    <row r="197" spans="2:14" ht="12.75">
      <c r="D197" s="78">
        <f>IF(D193&lt;4,D196*D194/B2/D195/1000,IF(D193=4,'Process DS'!I25/C221,'Process DS'!I25))</f>
        <v>0</v>
      </c>
      <c r="E197" s="32" t="s">
        <v>408</v>
      </c>
    </row>
    <row r="198" spans="2:14" ht="12.75">
      <c r="B198" s="200" t="s">
        <v>409</v>
      </c>
    </row>
    <row r="199" spans="2:14" ht="12.75">
      <c r="E199" s="47" t="s">
        <v>410</v>
      </c>
      <c r="F199" s="50">
        <f>'Process DS'!I48/100</f>
        <v>0</v>
      </c>
    </row>
    <row r="200" spans="2:14" ht="12.75">
      <c r="D200" s="181" t="s">
        <v>411</v>
      </c>
      <c r="E200" s="50"/>
      <c r="F200" s="181" t="s">
        <v>411</v>
      </c>
      <c r="G200" s="50"/>
      <c r="H200" s="181" t="s">
        <v>411</v>
      </c>
    </row>
    <row r="201" spans="2:14" ht="12.75">
      <c r="C201" s="47" t="s">
        <v>412</v>
      </c>
      <c r="D201" s="201">
        <f>D197</f>
        <v>0</v>
      </c>
      <c r="E201" s="47" t="s">
        <v>413</v>
      </c>
      <c r="F201" s="201">
        <f>F199*D204/E204</f>
        <v>0</v>
      </c>
      <c r="G201" s="47" t="s">
        <v>414</v>
      </c>
      <c r="H201" s="201">
        <f>SUM(H203:H219)</f>
        <v>0</v>
      </c>
    </row>
    <row r="202" spans="2:14" ht="12.75">
      <c r="C202" s="50" t="s">
        <v>415</v>
      </c>
      <c r="D202" s="201" t="s">
        <v>416</v>
      </c>
      <c r="E202" s="50" t="s">
        <v>417</v>
      </c>
      <c r="F202" s="201" t="s">
        <v>418</v>
      </c>
      <c r="G202" s="50" t="s">
        <v>419</v>
      </c>
      <c r="H202" s="201" t="s">
        <v>420</v>
      </c>
    </row>
    <row r="203" spans="2:14" ht="12.75">
      <c r="B203" s="47" t="s">
        <v>190</v>
      </c>
      <c r="C203" s="193">
        <f>H37/100</f>
        <v>2.0000000000000002E-7</v>
      </c>
      <c r="D203" s="201">
        <f>C203*$D$201</f>
        <v>0</v>
      </c>
      <c r="E203" s="193">
        <f>I101/100</f>
        <v>1.015999999999999E-6</v>
      </c>
      <c r="F203" s="201">
        <f>E203*$F$201</f>
        <v>0</v>
      </c>
      <c r="G203" s="193" t="e">
        <f>H203/$H$201</f>
        <v>#DIV/0!</v>
      </c>
      <c r="H203" s="201">
        <f>D203-F203</f>
        <v>0</v>
      </c>
      <c r="J203" s="76" t="e">
        <f>G203*C7/100</f>
        <v>#DIV/0!</v>
      </c>
      <c r="L203" s="164" t="e">
        <f>G203*100</f>
        <v>#DIV/0!</v>
      </c>
      <c r="M203" s="168" t="e">
        <f>100*J203/$J$221</f>
        <v>#DIV/0!</v>
      </c>
      <c r="N203" s="32" t="s">
        <v>421</v>
      </c>
    </row>
    <row r="204" spans="2:14" ht="12.75">
      <c r="B204" s="47" t="s">
        <v>192</v>
      </c>
      <c r="C204" s="193">
        <f t="shared" ref="C204:C219" si="165">H38/100</f>
        <v>1.0000000000000001E-7</v>
      </c>
      <c r="D204" s="201">
        <f>C204*$D$201</f>
        <v>0</v>
      </c>
      <c r="E204" s="193">
        <f t="shared" ref="E204:E219" si="166">I102/100</f>
        <v>0.99950000000000006</v>
      </c>
      <c r="F204" s="201">
        <f>E204*$F$201</f>
        <v>0</v>
      </c>
      <c r="G204" s="193" t="e">
        <f>H204/$H$201</f>
        <v>#DIV/0!</v>
      </c>
      <c r="H204" s="201">
        <f t="shared" ref="H204:H219" si="167">D204-F204</f>
        <v>0</v>
      </c>
      <c r="J204" s="76" t="e">
        <f t="shared" ref="J204:J220" si="168">G204*C8/100</f>
        <v>#DIV/0!</v>
      </c>
      <c r="L204" s="164" t="e">
        <f t="shared" ref="L204:L220" si="169">G204*100</f>
        <v>#DIV/0!</v>
      </c>
      <c r="M204" s="168" t="e">
        <f t="shared" ref="M204:M220" si="170">100*J204/$J$221</f>
        <v>#DIV/0!</v>
      </c>
      <c r="N204" s="39" t="s">
        <v>422</v>
      </c>
    </row>
    <row r="205" spans="2:14" ht="12.75">
      <c r="B205" s="47" t="s">
        <v>193</v>
      </c>
      <c r="C205" s="193">
        <f t="shared" si="165"/>
        <v>1.0000000000000001E-7</v>
      </c>
      <c r="D205" s="201">
        <f t="shared" ref="D205:D220" si="171">C205*$D$201</f>
        <v>0</v>
      </c>
      <c r="E205" s="193">
        <f t="shared" si="166"/>
        <v>4.8999999999999998E-5</v>
      </c>
      <c r="F205" s="201">
        <f>E205*$F$201</f>
        <v>0</v>
      </c>
      <c r="G205" s="193" t="e">
        <f t="shared" ref="G205:G220" si="172">H205/$H$201</f>
        <v>#DIV/0!</v>
      </c>
      <c r="H205" s="201">
        <f t="shared" si="167"/>
        <v>0</v>
      </c>
      <c r="J205" s="76" t="e">
        <f t="shared" si="168"/>
        <v>#DIV/0!</v>
      </c>
      <c r="L205" s="164" t="e">
        <f t="shared" si="169"/>
        <v>#DIV/0!</v>
      </c>
      <c r="M205" s="168" t="e">
        <f t="shared" si="170"/>
        <v>#DIV/0!</v>
      </c>
      <c r="N205" s="39" t="s">
        <v>423</v>
      </c>
    </row>
    <row r="206" spans="2:14" ht="12.75">
      <c r="B206" s="47" t="s">
        <v>194</v>
      </c>
      <c r="C206" s="193">
        <f t="shared" si="165"/>
        <v>1.0000000000000001E-7</v>
      </c>
      <c r="D206" s="201">
        <f t="shared" si="171"/>
        <v>0</v>
      </c>
      <c r="E206" s="193">
        <f t="shared" si="166"/>
        <v>7.4872545757077468E-7</v>
      </c>
      <c r="F206" s="201">
        <f t="shared" ref="F206:F220" si="173">E206*$F$201</f>
        <v>0</v>
      </c>
      <c r="G206" s="193" t="e">
        <f t="shared" si="172"/>
        <v>#DIV/0!</v>
      </c>
      <c r="H206" s="201">
        <f t="shared" si="167"/>
        <v>0</v>
      </c>
      <c r="J206" s="76" t="e">
        <f t="shared" si="168"/>
        <v>#DIV/0!</v>
      </c>
      <c r="L206" s="164" t="e">
        <f t="shared" si="169"/>
        <v>#DIV/0!</v>
      </c>
      <c r="M206" s="168" t="e">
        <f t="shared" si="170"/>
        <v>#DIV/0!</v>
      </c>
      <c r="N206" s="39" t="s">
        <v>424</v>
      </c>
    </row>
    <row r="207" spans="2:14" ht="12.75">
      <c r="B207" s="47" t="s">
        <v>195</v>
      </c>
      <c r="C207" s="193">
        <f t="shared" si="165"/>
        <v>4.0000000000000003E-7</v>
      </c>
      <c r="D207" s="201">
        <f t="shared" si="171"/>
        <v>0</v>
      </c>
      <c r="E207" s="193">
        <f t="shared" si="166"/>
        <v>2.2461763727123243E-4</v>
      </c>
      <c r="F207" s="201">
        <f t="shared" si="173"/>
        <v>0</v>
      </c>
      <c r="G207" s="193" t="e">
        <f t="shared" si="172"/>
        <v>#DIV/0!</v>
      </c>
      <c r="H207" s="201">
        <f t="shared" si="167"/>
        <v>0</v>
      </c>
      <c r="J207" s="76" t="e">
        <f t="shared" si="168"/>
        <v>#DIV/0!</v>
      </c>
      <c r="L207" s="164" t="e">
        <f t="shared" si="169"/>
        <v>#DIV/0!</v>
      </c>
      <c r="M207" s="168" t="e">
        <f t="shared" si="170"/>
        <v>#DIV/0!</v>
      </c>
      <c r="N207" s="39" t="s">
        <v>425</v>
      </c>
    </row>
    <row r="208" spans="2:14" ht="12.75">
      <c r="B208" s="47" t="s">
        <v>196</v>
      </c>
      <c r="C208" s="193">
        <f t="shared" si="165"/>
        <v>1.0000000000000001E-7</v>
      </c>
      <c r="D208" s="201">
        <f t="shared" si="171"/>
        <v>0</v>
      </c>
      <c r="E208" s="193">
        <f t="shared" si="166"/>
        <v>2.2461763727123243E-4</v>
      </c>
      <c r="F208" s="201">
        <f t="shared" si="173"/>
        <v>0</v>
      </c>
      <c r="G208" s="193" t="e">
        <f t="shared" si="172"/>
        <v>#DIV/0!</v>
      </c>
      <c r="H208" s="201">
        <f t="shared" si="167"/>
        <v>0</v>
      </c>
      <c r="J208" s="76" t="e">
        <f t="shared" si="168"/>
        <v>#DIV/0!</v>
      </c>
      <c r="L208" s="164" t="e">
        <f t="shared" si="169"/>
        <v>#DIV/0!</v>
      </c>
      <c r="M208" s="168" t="e">
        <f t="shared" si="170"/>
        <v>#DIV/0!</v>
      </c>
      <c r="N208" s="39" t="s">
        <v>426</v>
      </c>
    </row>
    <row r="209" spans="2:17" ht="12.75">
      <c r="B209" s="47" t="s">
        <v>197</v>
      </c>
      <c r="C209" s="193">
        <f t="shared" si="165"/>
        <v>0.99999899999999997</v>
      </c>
      <c r="D209" s="201">
        <f t="shared" si="171"/>
        <v>0</v>
      </c>
      <c r="E209" s="193">
        <f t="shared" si="166"/>
        <v>0</v>
      </c>
      <c r="F209" s="201">
        <f t="shared" si="173"/>
        <v>0</v>
      </c>
      <c r="G209" s="193" t="e">
        <f t="shared" si="172"/>
        <v>#DIV/0!</v>
      </c>
      <c r="H209" s="201">
        <f t="shared" si="167"/>
        <v>0</v>
      </c>
      <c r="J209" s="76" t="e">
        <f t="shared" si="168"/>
        <v>#DIV/0!</v>
      </c>
      <c r="L209" s="164" t="e">
        <f t="shared" si="169"/>
        <v>#DIV/0!</v>
      </c>
      <c r="M209" s="168" t="e">
        <f t="shared" si="170"/>
        <v>#DIV/0!</v>
      </c>
      <c r="N209" s="39" t="s">
        <v>427</v>
      </c>
    </row>
    <row r="210" spans="2:17" ht="12.75">
      <c r="B210" s="47" t="s">
        <v>198</v>
      </c>
      <c r="C210" s="193">
        <f t="shared" si="165"/>
        <v>0</v>
      </c>
      <c r="D210" s="201">
        <f t="shared" si="171"/>
        <v>0</v>
      </c>
      <c r="E210" s="193">
        <f t="shared" si="166"/>
        <v>0</v>
      </c>
      <c r="F210" s="201">
        <f t="shared" si="173"/>
        <v>0</v>
      </c>
      <c r="G210" s="193" t="e">
        <f t="shared" si="172"/>
        <v>#DIV/0!</v>
      </c>
      <c r="H210" s="201">
        <f t="shared" si="167"/>
        <v>0</v>
      </c>
      <c r="J210" s="76" t="e">
        <f t="shared" si="168"/>
        <v>#DIV/0!</v>
      </c>
      <c r="L210" s="164" t="e">
        <f t="shared" si="169"/>
        <v>#DIV/0!</v>
      </c>
      <c r="M210" s="168" t="e">
        <f t="shared" si="170"/>
        <v>#DIV/0!</v>
      </c>
      <c r="N210" s="39" t="s">
        <v>428</v>
      </c>
    </row>
    <row r="211" spans="2:17" ht="12.75">
      <c r="B211" s="47" t="s">
        <v>199</v>
      </c>
      <c r="C211" s="193">
        <f t="shared" si="165"/>
        <v>0</v>
      </c>
      <c r="D211" s="201">
        <f t="shared" si="171"/>
        <v>0</v>
      </c>
      <c r="E211" s="193">
        <f t="shared" si="166"/>
        <v>0</v>
      </c>
      <c r="F211" s="201">
        <f t="shared" si="173"/>
        <v>0</v>
      </c>
      <c r="G211" s="193" t="e">
        <f t="shared" si="172"/>
        <v>#DIV/0!</v>
      </c>
      <c r="H211" s="201">
        <f t="shared" si="167"/>
        <v>0</v>
      </c>
      <c r="J211" s="76" t="e">
        <f t="shared" si="168"/>
        <v>#DIV/0!</v>
      </c>
      <c r="L211" s="164" t="e">
        <f t="shared" si="169"/>
        <v>#DIV/0!</v>
      </c>
      <c r="M211" s="168" t="e">
        <f t="shared" si="170"/>
        <v>#DIV/0!</v>
      </c>
      <c r="N211" s="39" t="s">
        <v>429</v>
      </c>
    </row>
    <row r="212" spans="2:17" ht="12.75">
      <c r="B212" s="47" t="s">
        <v>200</v>
      </c>
      <c r="C212" s="193">
        <f t="shared" si="165"/>
        <v>0</v>
      </c>
      <c r="D212" s="201">
        <f t="shared" si="171"/>
        <v>0</v>
      </c>
      <c r="E212" s="193">
        <f t="shared" si="166"/>
        <v>0</v>
      </c>
      <c r="F212" s="201">
        <f t="shared" si="173"/>
        <v>0</v>
      </c>
      <c r="G212" s="193" t="e">
        <f t="shared" si="172"/>
        <v>#DIV/0!</v>
      </c>
      <c r="H212" s="201">
        <f t="shared" si="167"/>
        <v>0</v>
      </c>
      <c r="J212" s="76" t="e">
        <f t="shared" si="168"/>
        <v>#DIV/0!</v>
      </c>
      <c r="L212" s="164" t="e">
        <f t="shared" si="169"/>
        <v>#DIV/0!</v>
      </c>
      <c r="M212" s="168" t="e">
        <f t="shared" si="170"/>
        <v>#DIV/0!</v>
      </c>
      <c r="N212" s="39" t="s">
        <v>430</v>
      </c>
    </row>
    <row r="213" spans="2:17" ht="12.75">
      <c r="B213" s="47" t="s">
        <v>201</v>
      </c>
      <c r="C213" s="193">
        <f t="shared" si="165"/>
        <v>0</v>
      </c>
      <c r="D213" s="201">
        <f t="shared" si="171"/>
        <v>0</v>
      </c>
      <c r="E213" s="193">
        <f t="shared" si="166"/>
        <v>0</v>
      </c>
      <c r="F213" s="201">
        <f t="shared" si="173"/>
        <v>0</v>
      </c>
      <c r="G213" s="193" t="e">
        <f t="shared" si="172"/>
        <v>#DIV/0!</v>
      </c>
      <c r="H213" s="201">
        <f t="shared" si="167"/>
        <v>0</v>
      </c>
      <c r="J213" s="76" t="e">
        <f t="shared" si="168"/>
        <v>#DIV/0!</v>
      </c>
      <c r="L213" s="164" t="e">
        <f t="shared" si="169"/>
        <v>#DIV/0!</v>
      </c>
      <c r="M213" s="168" t="e">
        <f t="shared" si="170"/>
        <v>#DIV/0!</v>
      </c>
      <c r="N213" s="39" t="s">
        <v>431</v>
      </c>
    </row>
    <row r="214" spans="2:17" ht="12.75">
      <c r="B214" s="47" t="s">
        <v>202</v>
      </c>
      <c r="C214" s="193">
        <f t="shared" si="165"/>
        <v>0</v>
      </c>
      <c r="D214" s="201">
        <f t="shared" si="171"/>
        <v>0</v>
      </c>
      <c r="E214" s="193">
        <f t="shared" si="166"/>
        <v>0</v>
      </c>
      <c r="F214" s="201">
        <f t="shared" si="173"/>
        <v>0</v>
      </c>
      <c r="G214" s="193" t="e">
        <f t="shared" si="172"/>
        <v>#DIV/0!</v>
      </c>
      <c r="H214" s="201">
        <f t="shared" si="167"/>
        <v>0</v>
      </c>
      <c r="J214" s="76" t="e">
        <f t="shared" si="168"/>
        <v>#DIV/0!</v>
      </c>
      <c r="L214" s="164" t="e">
        <f t="shared" si="169"/>
        <v>#DIV/0!</v>
      </c>
      <c r="M214" s="168" t="e">
        <f t="shared" si="170"/>
        <v>#DIV/0!</v>
      </c>
      <c r="N214" s="39" t="s">
        <v>432</v>
      </c>
    </row>
    <row r="215" spans="2:17" ht="12.75">
      <c r="B215" s="47" t="s">
        <v>203</v>
      </c>
      <c r="C215" s="193">
        <f t="shared" si="165"/>
        <v>0</v>
      </c>
      <c r="D215" s="201">
        <f t="shared" si="171"/>
        <v>0</v>
      </c>
      <c r="E215" s="193">
        <f t="shared" si="166"/>
        <v>0</v>
      </c>
      <c r="F215" s="201">
        <f t="shared" si="173"/>
        <v>0</v>
      </c>
      <c r="G215" s="193" t="e">
        <f t="shared" si="172"/>
        <v>#DIV/0!</v>
      </c>
      <c r="H215" s="201">
        <f t="shared" si="167"/>
        <v>0</v>
      </c>
      <c r="J215" s="76" t="e">
        <f t="shared" si="168"/>
        <v>#DIV/0!</v>
      </c>
      <c r="L215" s="164" t="e">
        <f t="shared" si="169"/>
        <v>#DIV/0!</v>
      </c>
      <c r="M215" s="168" t="e">
        <f t="shared" si="170"/>
        <v>#DIV/0!</v>
      </c>
      <c r="N215" s="39" t="s">
        <v>433</v>
      </c>
    </row>
    <row r="216" spans="2:17" ht="12.75">
      <c r="B216" s="47" t="s">
        <v>204</v>
      </c>
      <c r="C216" s="193">
        <f t="shared" si="165"/>
        <v>0</v>
      </c>
      <c r="D216" s="201">
        <f t="shared" si="171"/>
        <v>0</v>
      </c>
      <c r="E216" s="193">
        <f t="shared" si="166"/>
        <v>0</v>
      </c>
      <c r="F216" s="201">
        <f t="shared" si="173"/>
        <v>0</v>
      </c>
      <c r="G216" s="193" t="e">
        <f t="shared" si="172"/>
        <v>#DIV/0!</v>
      </c>
      <c r="H216" s="201">
        <f t="shared" si="167"/>
        <v>0</v>
      </c>
      <c r="J216" s="76" t="e">
        <f t="shared" si="168"/>
        <v>#DIV/0!</v>
      </c>
      <c r="L216" s="164" t="e">
        <f t="shared" si="169"/>
        <v>#DIV/0!</v>
      </c>
      <c r="M216" s="168" t="e">
        <f t="shared" si="170"/>
        <v>#DIV/0!</v>
      </c>
      <c r="N216" s="39" t="s">
        <v>434</v>
      </c>
    </row>
    <row r="217" spans="2:17" ht="12.75">
      <c r="B217" s="47" t="s">
        <v>205</v>
      </c>
      <c r="C217" s="193">
        <f t="shared" si="165"/>
        <v>0</v>
      </c>
      <c r="D217" s="201">
        <f t="shared" si="171"/>
        <v>0</v>
      </c>
      <c r="E217" s="193">
        <f t="shared" si="166"/>
        <v>0</v>
      </c>
      <c r="F217" s="201">
        <f t="shared" si="173"/>
        <v>0</v>
      </c>
      <c r="G217" s="193" t="e">
        <f t="shared" si="172"/>
        <v>#DIV/0!</v>
      </c>
      <c r="H217" s="201">
        <f t="shared" si="167"/>
        <v>0</v>
      </c>
      <c r="J217" s="76" t="e">
        <f t="shared" si="168"/>
        <v>#DIV/0!</v>
      </c>
      <c r="L217" s="164" t="e">
        <f t="shared" si="169"/>
        <v>#DIV/0!</v>
      </c>
      <c r="M217" s="168" t="e">
        <f t="shared" si="170"/>
        <v>#DIV/0!</v>
      </c>
      <c r="N217" s="39" t="s">
        <v>435</v>
      </c>
    </row>
    <row r="218" spans="2:17" ht="12.75">
      <c r="B218" s="47" t="s">
        <v>206</v>
      </c>
      <c r="C218" s="193">
        <f t="shared" si="165"/>
        <v>0</v>
      </c>
      <c r="D218" s="201">
        <f t="shared" si="171"/>
        <v>0</v>
      </c>
      <c r="E218" s="193">
        <f t="shared" si="166"/>
        <v>0</v>
      </c>
      <c r="F218" s="201">
        <f t="shared" si="173"/>
        <v>0</v>
      </c>
      <c r="G218" s="193" t="e">
        <f t="shared" si="172"/>
        <v>#DIV/0!</v>
      </c>
      <c r="H218" s="201">
        <f t="shared" si="167"/>
        <v>0</v>
      </c>
      <c r="J218" s="76" t="e">
        <f t="shared" si="168"/>
        <v>#DIV/0!</v>
      </c>
      <c r="L218" s="164" t="e">
        <f t="shared" si="169"/>
        <v>#DIV/0!</v>
      </c>
      <c r="M218" s="168" t="e">
        <f t="shared" si="170"/>
        <v>#DIV/0!</v>
      </c>
      <c r="N218" s="39" t="s">
        <v>436</v>
      </c>
    </row>
    <row r="219" spans="2:17" ht="12.75">
      <c r="B219" s="42" t="s">
        <v>207</v>
      </c>
      <c r="C219" s="195">
        <f t="shared" si="165"/>
        <v>0</v>
      </c>
      <c r="D219" s="201">
        <f t="shared" si="171"/>
        <v>0</v>
      </c>
      <c r="E219" s="195">
        <f t="shared" si="166"/>
        <v>0</v>
      </c>
      <c r="F219" s="201">
        <f t="shared" si="173"/>
        <v>0</v>
      </c>
      <c r="G219" s="195" t="e">
        <f t="shared" si="172"/>
        <v>#DIV/0!</v>
      </c>
      <c r="H219" s="201">
        <f t="shared" si="167"/>
        <v>0</v>
      </c>
      <c r="J219" s="76" t="e">
        <f t="shared" si="168"/>
        <v>#DIV/0!</v>
      </c>
      <c r="L219" s="164" t="e">
        <f t="shared" si="169"/>
        <v>#DIV/0!</v>
      </c>
      <c r="M219" s="168" t="e">
        <f t="shared" si="170"/>
        <v>#DIV/0!</v>
      </c>
      <c r="N219" s="39" t="s">
        <v>437</v>
      </c>
    </row>
    <row r="220" spans="2:17" ht="12.75">
      <c r="B220" s="202" t="s">
        <v>208</v>
      </c>
      <c r="C220" s="196">
        <f>H54/100</f>
        <v>0</v>
      </c>
      <c r="D220" s="203">
        <f t="shared" si="171"/>
        <v>0</v>
      </c>
      <c r="E220" s="196">
        <f>I118/100</f>
        <v>0</v>
      </c>
      <c r="F220" s="203">
        <f t="shared" si="173"/>
        <v>0</v>
      </c>
      <c r="G220" s="196" t="e">
        <f t="shared" si="172"/>
        <v>#DIV/0!</v>
      </c>
      <c r="H220" s="203">
        <f>D220-F220</f>
        <v>0</v>
      </c>
      <c r="J220" s="187" t="e">
        <f t="shared" si="168"/>
        <v>#DIV/0!</v>
      </c>
      <c r="L220" s="186" t="e">
        <f t="shared" si="169"/>
        <v>#DIV/0!</v>
      </c>
      <c r="M220" s="186" t="e">
        <f t="shared" si="170"/>
        <v>#DIV/0!</v>
      </c>
      <c r="N220" s="134" t="s">
        <v>438</v>
      </c>
      <c r="O220" s="134"/>
      <c r="P220" s="134"/>
      <c r="Q220" s="134"/>
    </row>
    <row r="221" spans="2:17" ht="12.75">
      <c r="B221" s="32" t="s">
        <v>439</v>
      </c>
      <c r="C221" s="93">
        <f>AF25</f>
        <v>4.0026248119000005</v>
      </c>
      <c r="D221" s="181"/>
      <c r="E221" s="93">
        <f>AG25</f>
        <v>44.002377858394127</v>
      </c>
      <c r="F221" s="181"/>
      <c r="G221" s="93" t="e">
        <f>AH25</f>
        <v>#DIV/0!</v>
      </c>
      <c r="H221" s="181"/>
      <c r="J221" s="76" t="e">
        <f>SUM(J203:J220)</f>
        <v>#DIV/0!</v>
      </c>
      <c r="L221" s="164" t="e">
        <f>SUM(L203:L220)</f>
        <v>#DIV/0!</v>
      </c>
      <c r="M221" s="164" t="e">
        <f>SUM(M203:M220)</f>
        <v>#DIV/0!</v>
      </c>
      <c r="N221" s="32" t="s">
        <v>440</v>
      </c>
    </row>
    <row r="222" spans="2:17" ht="12.75">
      <c r="B222" s="47" t="s">
        <v>441</v>
      </c>
      <c r="C222" s="50"/>
      <c r="D222" s="204">
        <f>35.31467*(1000*D201*$B$2*(273.15+5*(60-32)/9)/101325)</f>
        <v>0</v>
      </c>
      <c r="E222" s="50"/>
      <c r="F222" s="204">
        <f>35.31467*(1000*F201*$B$2*(273.15+5*(60-32)/9)/101325)</f>
        <v>0</v>
      </c>
      <c r="G222" s="50"/>
      <c r="H222" s="204">
        <f>35.31467*(1000*H201*$B$2*(273.15+5*(60-32)/9)/101325)</f>
        <v>0</v>
      </c>
    </row>
    <row r="223" spans="2:17" ht="12.75">
      <c r="B223" s="47" t="s">
        <v>442</v>
      </c>
      <c r="C223" s="50"/>
      <c r="D223" s="204">
        <f>(1000*D201*$B$2*273.15/101325)</f>
        <v>0</v>
      </c>
      <c r="E223" s="50"/>
      <c r="F223" s="204">
        <f>(1000*F201*$B$2*273.15/101325)</f>
        <v>0</v>
      </c>
      <c r="G223" s="50"/>
      <c r="H223" s="204">
        <f>(1000*H201*$B$2*273.15/101325)</f>
        <v>0</v>
      </c>
    </row>
    <row r="224" spans="2:17" ht="12.75">
      <c r="B224" s="47" t="s">
        <v>443</v>
      </c>
      <c r="C224" s="50"/>
      <c r="D224" s="201">
        <f>35.31467*(1000*D201*$B$2*(273.15+5*(60-32)/9)/101325)*24/1000000</f>
        <v>0</v>
      </c>
      <c r="E224" s="50"/>
      <c r="F224" s="201">
        <f>35.31467*(1000*F201*$B$2*(273.15+5*(60-32)/9)/101325)*24/1000000</f>
        <v>0</v>
      </c>
      <c r="G224" s="50"/>
      <c r="H224" s="201">
        <f>35.31467*(1000*H201*$B$2*(273.15+5*(60-32)/9)/101325)*24/1000000</f>
        <v>0</v>
      </c>
      <c r="M224" s="32" t="s">
        <v>444</v>
      </c>
    </row>
    <row r="225" spans="2:14">
      <c r="B225" s="47" t="s">
        <v>445</v>
      </c>
      <c r="C225" s="50"/>
      <c r="D225" s="201">
        <f>D201*C221</f>
        <v>0</v>
      </c>
      <c r="E225" s="93"/>
      <c r="F225" s="201">
        <f>F201*E221</f>
        <v>0</v>
      </c>
      <c r="G225" s="93"/>
      <c r="H225" s="201" t="e">
        <f>H201*G221</f>
        <v>#DIV/0!</v>
      </c>
      <c r="I225" s="151" t="e">
        <f>H225+F225</f>
        <v>#DIV/0!</v>
      </c>
      <c r="J225" s="78" t="e">
        <f>I225-D225</f>
        <v>#DIV/0!</v>
      </c>
      <c r="M225" s="205" t="s">
        <v>446</v>
      </c>
    </row>
    <row r="226" spans="2:14" ht="12.75">
      <c r="B226" s="47" t="s">
        <v>411</v>
      </c>
      <c r="C226" s="50"/>
      <c r="D226" s="201">
        <f>D201</f>
        <v>0</v>
      </c>
      <c r="E226" s="93"/>
      <c r="F226" s="201">
        <f>F201</f>
        <v>0</v>
      </c>
      <c r="G226" s="93"/>
      <c r="H226" s="201">
        <f>H201</f>
        <v>0</v>
      </c>
      <c r="I226" s="151"/>
      <c r="J226" s="78"/>
      <c r="M226" s="205" t="s">
        <v>447</v>
      </c>
    </row>
    <row r="227" spans="2:14" ht="12.75">
      <c r="B227" s="47" t="s">
        <v>448</v>
      </c>
      <c r="C227" s="50"/>
      <c r="D227" s="201">
        <f>D225*24/1000</f>
        <v>0</v>
      </c>
      <c r="E227" s="93"/>
      <c r="F227" s="201">
        <f>F225*24/1000</f>
        <v>0</v>
      </c>
      <c r="G227" s="93"/>
      <c r="H227" s="201" t="e">
        <f>H225*24/1000</f>
        <v>#DIV/0!</v>
      </c>
      <c r="I227" s="151"/>
      <c r="J227" s="78"/>
      <c r="M227" s="206" t="s">
        <v>449</v>
      </c>
      <c r="N227" s="207">
        <v>-2.11256119E-7</v>
      </c>
    </row>
    <row r="228" spans="2:14" ht="12.75">
      <c r="B228" s="47" t="s">
        <v>450</v>
      </c>
      <c r="C228" s="50">
        <f>IF('Process DS'!G26='Process DB'!C106,1,IF('Process DS'!G26='Process DB'!C107,2,IF('Process DS'!G26='Process DB'!C108,3,IF('Process DS'!G26='Process DB'!C109,4,IF('Process DS'!G26='Process DB'!C110,5,6)))))</f>
        <v>2</v>
      </c>
      <c r="D228" s="201">
        <f>IF($C228=1,D222,IF($C228=2,D223,IF($C228=3,D224,IF($C228=4,D225,IF($C228=5,D226,D227)))))</f>
        <v>0</v>
      </c>
      <c r="E228" s="93"/>
      <c r="F228" s="201">
        <f>IF($C228=1,F222,IF($C228=2,F223,IF($C228=3,F224,IF($C228=4,F225,IF($C228=5,F226,F227)))))</f>
        <v>0</v>
      </c>
      <c r="G228" s="93"/>
      <c r="H228" s="201">
        <f>IF($C228=1,H222,IF($C228=2,H223,IF($C228=3,H224,IF($C228=4,H225,IF($C228=5,H226,H227)))))</f>
        <v>0</v>
      </c>
      <c r="I228" s="151"/>
      <c r="J228" s="78"/>
      <c r="M228" s="206" t="s">
        <v>451</v>
      </c>
      <c r="N228" s="207">
        <v>5.2617592700000002E-5</v>
      </c>
    </row>
    <row r="229" spans="2:14" ht="12.75">
      <c r="B229" s="47" t="s">
        <v>452</v>
      </c>
      <c r="C229" s="174">
        <f>AF4-273.15</f>
        <v>21.111111111111086</v>
      </c>
      <c r="D229" s="81">
        <f>$N$231+$N$230*C229+$N$229*C229^2+$N$228*C229^3+$N$227*C229^4</f>
        <v>997.92928252319621</v>
      </c>
      <c r="E229" s="174">
        <f>AG4-273.15</f>
        <v>2.7777777777777715</v>
      </c>
      <c r="F229" s="81">
        <f>$N$231+$N$230*E229+$N$229*E229^2+$N$228*E229^3+$N$227*E229^4</f>
        <v>999.92144557912854</v>
      </c>
      <c r="G229" s="174">
        <f>AH4-273.15</f>
        <v>2.7777777777777715</v>
      </c>
      <c r="H229" s="81">
        <f>$N$231+$N$230*G229+$N$229*G229^2+$N$228*G229^3+$N$227*G229^4</f>
        <v>999.92144557912854</v>
      </c>
      <c r="I229" s="151"/>
      <c r="J229" s="78"/>
      <c r="M229" s="206" t="s">
        <v>453</v>
      </c>
      <c r="N229" s="207">
        <v>-7.9717241899999996E-3</v>
      </c>
    </row>
    <row r="230" spans="2:14" ht="12.75">
      <c r="B230" s="47" t="s">
        <v>454</v>
      </c>
      <c r="C230" s="50"/>
      <c r="D230" s="201">
        <f>0.01*I37*D225</f>
        <v>0</v>
      </c>
      <c r="E230" s="93"/>
      <c r="F230" s="201">
        <f>0.01*J101*F225</f>
        <v>0</v>
      </c>
      <c r="G230" s="93"/>
      <c r="H230" s="201" t="e">
        <f>0.01*M203*H225</f>
        <v>#DIV/0!</v>
      </c>
      <c r="I230" s="151"/>
      <c r="J230" s="78"/>
      <c r="M230" s="206" t="s">
        <v>455</v>
      </c>
      <c r="N230" s="207">
        <v>5.7118174799999998E-2</v>
      </c>
    </row>
    <row r="231" spans="2:14" ht="12.75">
      <c r="B231" s="47" t="s">
        <v>456</v>
      </c>
      <c r="C231" s="50"/>
      <c r="D231" s="208">
        <f>24*1000*D230/D229</f>
        <v>0</v>
      </c>
      <c r="E231" s="102"/>
      <c r="F231" s="208">
        <f>24*1000*F230/F229</f>
        <v>0</v>
      </c>
      <c r="G231" s="102"/>
      <c r="H231" s="208" t="e">
        <f>24*1000*H230/H229</f>
        <v>#DIV/0!</v>
      </c>
      <c r="M231" s="206" t="s">
        <v>457</v>
      </c>
      <c r="N231" s="207">
        <v>999.82317899999998</v>
      </c>
    </row>
    <row r="232" spans="2:14" ht="12.75">
      <c r="B232" s="47" t="s">
        <v>458</v>
      </c>
      <c r="C232" s="50"/>
      <c r="D232" s="208">
        <f>D231/3.785412</f>
        <v>0</v>
      </c>
      <c r="E232" s="102"/>
      <c r="F232" s="208">
        <f>F231/3.785412</f>
        <v>0</v>
      </c>
      <c r="G232" s="102"/>
      <c r="H232" s="208" t="e">
        <f>H231/3.785412</f>
        <v>#DIV/0!</v>
      </c>
      <c r="M232" s="209"/>
      <c r="N232" s="210"/>
    </row>
    <row r="233" spans="2:14" ht="12.75">
      <c r="C233" s="50"/>
      <c r="D233" s="102"/>
      <c r="E233" s="102"/>
      <c r="F233" s="102"/>
      <c r="G233" s="102"/>
      <c r="M233" s="209"/>
      <c r="N233" s="210"/>
    </row>
    <row r="234" spans="2:14" ht="12.75">
      <c r="B234" s="200" t="s">
        <v>459</v>
      </c>
    </row>
    <row r="235" spans="2:14" ht="12.75">
      <c r="E235" s="47" t="s">
        <v>410</v>
      </c>
      <c r="F235" s="50">
        <f>'Process DS'!X47/100</f>
        <v>0</v>
      </c>
    </row>
    <row r="236" spans="2:14" ht="12.75">
      <c r="D236" s="181" t="s">
        <v>411</v>
      </c>
      <c r="E236" s="50"/>
      <c r="F236" s="181" t="s">
        <v>411</v>
      </c>
      <c r="G236" s="50"/>
      <c r="H236" s="102" t="s">
        <v>411</v>
      </c>
      <c r="I236" s="36"/>
    </row>
    <row r="237" spans="2:14" ht="12.75">
      <c r="C237" s="47" t="s">
        <v>412</v>
      </c>
      <c r="D237" s="201">
        <f>D197</f>
        <v>0</v>
      </c>
      <c r="E237" s="47" t="s">
        <v>413</v>
      </c>
      <c r="F237" s="201">
        <f>F235*D240/E240</f>
        <v>0</v>
      </c>
      <c r="G237" s="47" t="s">
        <v>414</v>
      </c>
      <c r="H237" s="151">
        <f>SUM(H239:H255)</f>
        <v>0</v>
      </c>
      <c r="I237" s="36"/>
    </row>
    <row r="238" spans="2:14" ht="12.75">
      <c r="C238" s="50" t="s">
        <v>415</v>
      </c>
      <c r="D238" s="201" t="s">
        <v>416</v>
      </c>
      <c r="E238" s="50" t="s">
        <v>417</v>
      </c>
      <c r="F238" s="201" t="s">
        <v>418</v>
      </c>
      <c r="G238" s="50" t="s">
        <v>419</v>
      </c>
      <c r="H238" s="151" t="s">
        <v>420</v>
      </c>
      <c r="I238" s="181" t="s">
        <v>460</v>
      </c>
    </row>
    <row r="239" spans="2:14" ht="12.75">
      <c r="B239" s="47" t="s">
        <v>190</v>
      </c>
      <c r="C239" s="193">
        <f t="shared" ref="C239:E254" si="174">C203</f>
        <v>2.0000000000000002E-7</v>
      </c>
      <c r="D239" s="201">
        <f t="shared" si="174"/>
        <v>0</v>
      </c>
      <c r="E239" s="193">
        <f t="shared" si="174"/>
        <v>1.015999999999999E-6</v>
      </c>
      <c r="F239" s="201">
        <f t="shared" ref="F239:F256" si="175">E239*$F$237</f>
        <v>0</v>
      </c>
      <c r="G239" s="193" t="e">
        <f>H239/$H$237</f>
        <v>#DIV/0!</v>
      </c>
      <c r="H239" s="151">
        <f>D239-F239</f>
        <v>0</v>
      </c>
      <c r="I239" s="201" t="e">
        <f t="shared" ref="I239:I256" si="176">G239*C7</f>
        <v>#DIV/0!</v>
      </c>
    </row>
    <row r="240" spans="2:14" ht="12.75">
      <c r="B240" s="47" t="s">
        <v>192</v>
      </c>
      <c r="C240" s="193">
        <f t="shared" si="174"/>
        <v>1.0000000000000001E-7</v>
      </c>
      <c r="D240" s="201">
        <f t="shared" si="174"/>
        <v>0</v>
      </c>
      <c r="E240" s="193">
        <f t="shared" si="174"/>
        <v>0.99950000000000006</v>
      </c>
      <c r="F240" s="201">
        <f t="shared" si="175"/>
        <v>0</v>
      </c>
      <c r="G240" s="193" t="e">
        <f t="shared" ref="G240:G256" si="177">H240/$H$237</f>
        <v>#DIV/0!</v>
      </c>
      <c r="H240" s="151">
        <f t="shared" ref="H240:H256" si="178">D240-F240</f>
        <v>0</v>
      </c>
      <c r="I240" s="201" t="e">
        <f t="shared" si="176"/>
        <v>#DIV/0!</v>
      </c>
    </row>
    <row r="241" spans="2:9" ht="12.75">
      <c r="B241" s="47" t="s">
        <v>193</v>
      </c>
      <c r="C241" s="193">
        <f t="shared" si="174"/>
        <v>1.0000000000000001E-7</v>
      </c>
      <c r="D241" s="201">
        <f t="shared" si="174"/>
        <v>0</v>
      </c>
      <c r="E241" s="193">
        <f t="shared" si="174"/>
        <v>4.8999999999999998E-5</v>
      </c>
      <c r="F241" s="201">
        <f t="shared" si="175"/>
        <v>0</v>
      </c>
      <c r="G241" s="193" t="e">
        <f t="shared" si="177"/>
        <v>#DIV/0!</v>
      </c>
      <c r="H241" s="151">
        <f t="shared" si="178"/>
        <v>0</v>
      </c>
      <c r="I241" s="201" t="e">
        <f t="shared" si="176"/>
        <v>#DIV/0!</v>
      </c>
    </row>
    <row r="242" spans="2:9" ht="12.75">
      <c r="B242" s="47" t="s">
        <v>194</v>
      </c>
      <c r="C242" s="193">
        <f t="shared" si="174"/>
        <v>1.0000000000000001E-7</v>
      </c>
      <c r="D242" s="201">
        <f t="shared" si="174"/>
        <v>0</v>
      </c>
      <c r="E242" s="193">
        <f t="shared" si="174"/>
        <v>7.4872545757077468E-7</v>
      </c>
      <c r="F242" s="201">
        <f t="shared" si="175"/>
        <v>0</v>
      </c>
      <c r="G242" s="193" t="e">
        <f t="shared" si="177"/>
        <v>#DIV/0!</v>
      </c>
      <c r="H242" s="151">
        <f t="shared" si="178"/>
        <v>0</v>
      </c>
      <c r="I242" s="201" t="e">
        <f t="shared" si="176"/>
        <v>#DIV/0!</v>
      </c>
    </row>
    <row r="243" spans="2:9" ht="12.75">
      <c r="B243" s="47" t="s">
        <v>195</v>
      </c>
      <c r="C243" s="193">
        <f t="shared" si="174"/>
        <v>4.0000000000000003E-7</v>
      </c>
      <c r="D243" s="201">
        <f t="shared" si="174"/>
        <v>0</v>
      </c>
      <c r="E243" s="193">
        <f t="shared" si="174"/>
        <v>2.2461763727123243E-4</v>
      </c>
      <c r="F243" s="201">
        <f t="shared" si="175"/>
        <v>0</v>
      </c>
      <c r="G243" s="193" t="e">
        <f t="shared" si="177"/>
        <v>#DIV/0!</v>
      </c>
      <c r="H243" s="151">
        <f t="shared" si="178"/>
        <v>0</v>
      </c>
      <c r="I243" s="201" t="e">
        <f t="shared" si="176"/>
        <v>#DIV/0!</v>
      </c>
    </row>
    <row r="244" spans="2:9" ht="12.75">
      <c r="B244" s="47" t="s">
        <v>196</v>
      </c>
      <c r="C244" s="193">
        <f t="shared" si="174"/>
        <v>1.0000000000000001E-7</v>
      </c>
      <c r="D244" s="201">
        <f t="shared" si="174"/>
        <v>0</v>
      </c>
      <c r="E244" s="193">
        <f t="shared" si="174"/>
        <v>2.2461763727123243E-4</v>
      </c>
      <c r="F244" s="201">
        <f t="shared" si="175"/>
        <v>0</v>
      </c>
      <c r="G244" s="193" t="e">
        <f t="shared" si="177"/>
        <v>#DIV/0!</v>
      </c>
      <c r="H244" s="151">
        <f t="shared" si="178"/>
        <v>0</v>
      </c>
      <c r="I244" s="201" t="e">
        <f t="shared" si="176"/>
        <v>#DIV/0!</v>
      </c>
    </row>
    <row r="245" spans="2:9" ht="12.75">
      <c r="B245" s="47" t="s">
        <v>197</v>
      </c>
      <c r="C245" s="193">
        <f t="shared" si="174"/>
        <v>0.99999899999999997</v>
      </c>
      <c r="D245" s="201">
        <f t="shared" si="174"/>
        <v>0</v>
      </c>
      <c r="E245" s="193">
        <f t="shared" si="174"/>
        <v>0</v>
      </c>
      <c r="F245" s="201">
        <f t="shared" si="175"/>
        <v>0</v>
      </c>
      <c r="G245" s="193" t="e">
        <f t="shared" si="177"/>
        <v>#DIV/0!</v>
      </c>
      <c r="H245" s="151">
        <f t="shared" si="178"/>
        <v>0</v>
      </c>
      <c r="I245" s="201" t="e">
        <f t="shared" si="176"/>
        <v>#DIV/0!</v>
      </c>
    </row>
    <row r="246" spans="2:9" ht="12.75">
      <c r="B246" s="47" t="s">
        <v>198</v>
      </c>
      <c r="C246" s="193">
        <f t="shared" si="174"/>
        <v>0</v>
      </c>
      <c r="D246" s="201">
        <f t="shared" si="174"/>
        <v>0</v>
      </c>
      <c r="E246" s="193">
        <f t="shared" si="174"/>
        <v>0</v>
      </c>
      <c r="F246" s="201">
        <f t="shared" si="175"/>
        <v>0</v>
      </c>
      <c r="G246" s="193" t="e">
        <f t="shared" si="177"/>
        <v>#DIV/0!</v>
      </c>
      <c r="H246" s="151">
        <f t="shared" si="178"/>
        <v>0</v>
      </c>
      <c r="I246" s="201" t="e">
        <f t="shared" si="176"/>
        <v>#DIV/0!</v>
      </c>
    </row>
    <row r="247" spans="2:9" ht="12.75">
      <c r="B247" s="47" t="s">
        <v>199</v>
      </c>
      <c r="C247" s="193">
        <f t="shared" si="174"/>
        <v>0</v>
      </c>
      <c r="D247" s="201">
        <f t="shared" si="174"/>
        <v>0</v>
      </c>
      <c r="E247" s="193">
        <f t="shared" si="174"/>
        <v>0</v>
      </c>
      <c r="F247" s="201">
        <f t="shared" si="175"/>
        <v>0</v>
      </c>
      <c r="G247" s="193" t="e">
        <f t="shared" si="177"/>
        <v>#DIV/0!</v>
      </c>
      <c r="H247" s="151">
        <f t="shared" si="178"/>
        <v>0</v>
      </c>
      <c r="I247" s="201" t="e">
        <f t="shared" si="176"/>
        <v>#DIV/0!</v>
      </c>
    </row>
    <row r="248" spans="2:9" ht="12.75">
      <c r="B248" s="47" t="s">
        <v>200</v>
      </c>
      <c r="C248" s="193">
        <f t="shared" si="174"/>
        <v>0</v>
      </c>
      <c r="D248" s="201">
        <f t="shared" si="174"/>
        <v>0</v>
      </c>
      <c r="E248" s="193">
        <f t="shared" si="174"/>
        <v>0</v>
      </c>
      <c r="F248" s="201">
        <f t="shared" si="175"/>
        <v>0</v>
      </c>
      <c r="G248" s="193" t="e">
        <f t="shared" si="177"/>
        <v>#DIV/0!</v>
      </c>
      <c r="H248" s="151">
        <f t="shared" si="178"/>
        <v>0</v>
      </c>
      <c r="I248" s="201" t="e">
        <f t="shared" si="176"/>
        <v>#DIV/0!</v>
      </c>
    </row>
    <row r="249" spans="2:9" ht="12.75">
      <c r="B249" s="47" t="s">
        <v>201</v>
      </c>
      <c r="C249" s="193">
        <f t="shared" si="174"/>
        <v>0</v>
      </c>
      <c r="D249" s="201">
        <f t="shared" si="174"/>
        <v>0</v>
      </c>
      <c r="E249" s="193">
        <f t="shared" si="174"/>
        <v>0</v>
      </c>
      <c r="F249" s="201">
        <f t="shared" si="175"/>
        <v>0</v>
      </c>
      <c r="G249" s="193" t="e">
        <f t="shared" si="177"/>
        <v>#DIV/0!</v>
      </c>
      <c r="H249" s="151">
        <f t="shared" si="178"/>
        <v>0</v>
      </c>
      <c r="I249" s="201" t="e">
        <f t="shared" si="176"/>
        <v>#DIV/0!</v>
      </c>
    </row>
    <row r="250" spans="2:9" ht="12.75">
      <c r="B250" s="47" t="s">
        <v>202</v>
      </c>
      <c r="C250" s="193">
        <f t="shared" si="174"/>
        <v>0</v>
      </c>
      <c r="D250" s="201">
        <f t="shared" si="174"/>
        <v>0</v>
      </c>
      <c r="E250" s="193">
        <f t="shared" si="174"/>
        <v>0</v>
      </c>
      <c r="F250" s="201">
        <f t="shared" si="175"/>
        <v>0</v>
      </c>
      <c r="G250" s="193" t="e">
        <f t="shared" si="177"/>
        <v>#DIV/0!</v>
      </c>
      <c r="H250" s="151">
        <f t="shared" si="178"/>
        <v>0</v>
      </c>
      <c r="I250" s="201" t="e">
        <f t="shared" si="176"/>
        <v>#DIV/0!</v>
      </c>
    </row>
    <row r="251" spans="2:9" ht="12.75">
      <c r="B251" s="47" t="s">
        <v>203</v>
      </c>
      <c r="C251" s="193">
        <f t="shared" si="174"/>
        <v>0</v>
      </c>
      <c r="D251" s="201">
        <f t="shared" si="174"/>
        <v>0</v>
      </c>
      <c r="E251" s="193">
        <f t="shared" si="174"/>
        <v>0</v>
      </c>
      <c r="F251" s="201">
        <f t="shared" si="175"/>
        <v>0</v>
      </c>
      <c r="G251" s="193" t="e">
        <f t="shared" si="177"/>
        <v>#DIV/0!</v>
      </c>
      <c r="H251" s="151">
        <f t="shared" si="178"/>
        <v>0</v>
      </c>
      <c r="I251" s="201" t="e">
        <f t="shared" si="176"/>
        <v>#DIV/0!</v>
      </c>
    </row>
    <row r="252" spans="2:9" ht="12.75">
      <c r="B252" s="47" t="s">
        <v>204</v>
      </c>
      <c r="C252" s="193">
        <f t="shared" si="174"/>
        <v>0</v>
      </c>
      <c r="D252" s="201">
        <f t="shared" si="174"/>
        <v>0</v>
      </c>
      <c r="E252" s="193">
        <f t="shared" si="174"/>
        <v>0</v>
      </c>
      <c r="F252" s="201">
        <f t="shared" si="175"/>
        <v>0</v>
      </c>
      <c r="G252" s="193" t="e">
        <f t="shared" si="177"/>
        <v>#DIV/0!</v>
      </c>
      <c r="H252" s="151">
        <f t="shared" si="178"/>
        <v>0</v>
      </c>
      <c r="I252" s="201" t="e">
        <f t="shared" si="176"/>
        <v>#DIV/0!</v>
      </c>
    </row>
    <row r="253" spans="2:9" ht="12.75">
      <c r="B253" s="47" t="s">
        <v>205</v>
      </c>
      <c r="C253" s="193">
        <f t="shared" si="174"/>
        <v>0</v>
      </c>
      <c r="D253" s="201">
        <f t="shared" si="174"/>
        <v>0</v>
      </c>
      <c r="E253" s="193">
        <f t="shared" si="174"/>
        <v>0</v>
      </c>
      <c r="F253" s="201">
        <f t="shared" si="175"/>
        <v>0</v>
      </c>
      <c r="G253" s="193" t="e">
        <f t="shared" si="177"/>
        <v>#DIV/0!</v>
      </c>
      <c r="H253" s="151">
        <f t="shared" si="178"/>
        <v>0</v>
      </c>
      <c r="I253" s="201" t="e">
        <f t="shared" si="176"/>
        <v>#DIV/0!</v>
      </c>
    </row>
    <row r="254" spans="2:9" ht="12.75">
      <c r="B254" s="47" t="s">
        <v>206</v>
      </c>
      <c r="C254" s="193">
        <f t="shared" si="174"/>
        <v>0</v>
      </c>
      <c r="D254" s="201">
        <f t="shared" si="174"/>
        <v>0</v>
      </c>
      <c r="E254" s="193">
        <f t="shared" si="174"/>
        <v>0</v>
      </c>
      <c r="F254" s="201">
        <f t="shared" si="175"/>
        <v>0</v>
      </c>
      <c r="G254" s="193" t="e">
        <f t="shared" si="177"/>
        <v>#DIV/0!</v>
      </c>
      <c r="H254" s="151">
        <f t="shared" si="178"/>
        <v>0</v>
      </c>
      <c r="I254" s="201" t="e">
        <f t="shared" si="176"/>
        <v>#DIV/0!</v>
      </c>
    </row>
    <row r="255" spans="2:9" ht="12.75">
      <c r="B255" s="42" t="s">
        <v>207</v>
      </c>
      <c r="C255" s="195">
        <f t="shared" ref="C255:E256" si="179">C219</f>
        <v>0</v>
      </c>
      <c r="D255" s="201">
        <f t="shared" si="179"/>
        <v>0</v>
      </c>
      <c r="E255" s="195">
        <f t="shared" si="179"/>
        <v>0</v>
      </c>
      <c r="F255" s="201">
        <f t="shared" si="175"/>
        <v>0</v>
      </c>
      <c r="G255" s="193" t="e">
        <f t="shared" si="177"/>
        <v>#DIV/0!</v>
      </c>
      <c r="H255" s="151">
        <f t="shared" si="178"/>
        <v>0</v>
      </c>
      <c r="I255" s="201" t="e">
        <f t="shared" si="176"/>
        <v>#DIV/0!</v>
      </c>
    </row>
    <row r="256" spans="2:9" ht="12.75">
      <c r="B256" s="202" t="s">
        <v>208</v>
      </c>
      <c r="C256" s="196">
        <f t="shared" si="179"/>
        <v>0</v>
      </c>
      <c r="D256" s="203">
        <f t="shared" si="179"/>
        <v>0</v>
      </c>
      <c r="E256" s="196">
        <f t="shared" si="179"/>
        <v>0</v>
      </c>
      <c r="F256" s="203">
        <f t="shared" si="175"/>
        <v>0</v>
      </c>
      <c r="G256" s="196" t="e">
        <f t="shared" si="177"/>
        <v>#DIV/0!</v>
      </c>
      <c r="H256" s="211">
        <f t="shared" si="178"/>
        <v>0</v>
      </c>
      <c r="I256" s="203" t="e">
        <f t="shared" si="176"/>
        <v>#DIV/0!</v>
      </c>
    </row>
    <row r="257" spans="2:31" ht="12.75">
      <c r="B257" s="32" t="s">
        <v>439</v>
      </c>
      <c r="C257" s="93">
        <f>AF25</f>
        <v>4.0026248119000005</v>
      </c>
      <c r="D257" s="181"/>
      <c r="E257" s="93">
        <f>AG25</f>
        <v>44.002377858394127</v>
      </c>
      <c r="F257" s="181"/>
      <c r="G257" s="93" t="e">
        <f>SUM(I239:I256)</f>
        <v>#DIV/0!</v>
      </c>
      <c r="H257" s="102"/>
      <c r="I257" s="36"/>
    </row>
    <row r="258" spans="2:31" ht="12.75">
      <c r="B258" s="32" t="s">
        <v>441</v>
      </c>
      <c r="C258" s="50"/>
      <c r="D258" s="204">
        <f>35.31467*(1000*D237*$B$2*(273.15+5*(60-32)/9)/101325)</f>
        <v>0</v>
      </c>
      <c r="E258" s="50"/>
      <c r="F258" s="204">
        <f>35.31467*(1000*F237*$B$2*(273.15+5*(60-32)/9)/101325)</f>
        <v>0</v>
      </c>
      <c r="G258" s="50"/>
      <c r="H258" s="212">
        <f>35.31467*(1000*H237*$B$2*(273.15+5*(60-32)/9)/101325)</f>
        <v>0</v>
      </c>
      <c r="I258" s="36"/>
    </row>
    <row r="259" spans="2:31" ht="12.75">
      <c r="B259" s="32" t="s">
        <v>442</v>
      </c>
      <c r="C259" s="50"/>
      <c r="D259" s="204">
        <f>(1000*D237*$B$2*273.15/101325)</f>
        <v>0</v>
      </c>
      <c r="E259" s="50"/>
      <c r="F259" s="204">
        <f>(1000*F237*$B$2*273.15/101325)</f>
        <v>0</v>
      </c>
      <c r="G259" s="50"/>
      <c r="H259" s="212">
        <f>(1000*H237*$B$2*273.15/101325)</f>
        <v>0</v>
      </c>
      <c r="I259" s="36"/>
    </row>
    <row r="260" spans="2:31" ht="12.75">
      <c r="B260" s="32" t="s">
        <v>443</v>
      </c>
      <c r="C260" s="50"/>
      <c r="D260" s="201">
        <f>35.31467*(1000*D237*$B$2*(273.15+5*(60-32)/9)/101325)*24/1000000</f>
        <v>0</v>
      </c>
      <c r="E260" s="50"/>
      <c r="F260" s="201">
        <f>35.31467*(1000*F237*$B$2*(273.15+5*(60-32)/9)/101325)*24/1000000</f>
        <v>0</v>
      </c>
      <c r="G260" s="50"/>
      <c r="H260" s="151">
        <f>35.31467*(1000*H237*$B$2*(273.15+5*(60-32)/9)/101325)*24/1000000</f>
        <v>0</v>
      </c>
      <c r="I260" s="36"/>
    </row>
    <row r="261" spans="2:31" ht="12.75">
      <c r="B261" s="32" t="s">
        <v>445</v>
      </c>
      <c r="C261" s="50"/>
      <c r="D261" s="201">
        <f>D237*C257</f>
        <v>0</v>
      </c>
      <c r="E261" s="93"/>
      <c r="F261" s="201">
        <f>F237*E257</f>
        <v>0</v>
      </c>
      <c r="G261" s="93"/>
      <c r="H261" s="151" t="e">
        <f>H237*G257</f>
        <v>#DIV/0!</v>
      </c>
      <c r="I261" s="36"/>
      <c r="J261" s="93" t="e">
        <f>H261+F261</f>
        <v>#DIV/0!</v>
      </c>
      <c r="K261" s="78" t="e">
        <f>J261-D261</f>
        <v>#DIV/0!</v>
      </c>
    </row>
    <row r="262" spans="2:31" ht="12.75">
      <c r="B262" s="47" t="s">
        <v>411</v>
      </c>
      <c r="C262" s="50"/>
      <c r="D262" s="201">
        <f>D237</f>
        <v>0</v>
      </c>
      <c r="E262" s="93"/>
      <c r="F262" s="201">
        <f>F237</f>
        <v>0</v>
      </c>
      <c r="G262" s="93"/>
      <c r="H262" s="151">
        <f>H237</f>
        <v>0</v>
      </c>
      <c r="I262" s="36"/>
    </row>
    <row r="263" spans="2:31" ht="12.75">
      <c r="B263" s="47" t="s">
        <v>448</v>
      </c>
      <c r="C263" s="50"/>
      <c r="D263" s="201">
        <f>D261*24/1000</f>
        <v>0</v>
      </c>
      <c r="E263" s="93"/>
      <c r="F263" s="201">
        <f>F261*24/1000</f>
        <v>0</v>
      </c>
      <c r="G263" s="93"/>
      <c r="H263" s="151" t="e">
        <f>H261*24/1000</f>
        <v>#DIV/0!</v>
      </c>
      <c r="I263" s="36"/>
    </row>
    <row r="264" spans="2:31" ht="12.75">
      <c r="B264" s="47" t="s">
        <v>450</v>
      </c>
      <c r="C264" s="50">
        <f>C228</f>
        <v>2</v>
      </c>
      <c r="D264" s="201">
        <f>IF($C264=1,D258,IF($C264=2,D259,IF($C264=3,D260,IF($C264=4,D261,IF($C264=5,D262,D263)))))</f>
        <v>0</v>
      </c>
      <c r="E264" s="93"/>
      <c r="F264" s="201">
        <f>IF($C264=1,F258,IF($C264=2,F259,IF($C264=3,F260,IF($C264=4,F261,IF($C264=5,F262,F263)))))</f>
        <v>0</v>
      </c>
      <c r="G264" s="93"/>
      <c r="H264" s="151">
        <f>IF($C264=1,H258,IF($C264=2,H259,IF($C264=3,H260,IF($C264=4,H261,IF($C264=5,H262,H263)))))</f>
        <v>0</v>
      </c>
      <c r="I264" s="36"/>
    </row>
    <row r="271" spans="2:31" ht="12.75">
      <c r="AD271" s="39"/>
      <c r="AE271" s="39"/>
    </row>
  </sheetData>
  <sheetProtection password="E5FA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188"/>
  <sheetViews>
    <sheetView workbookViewId="0">
      <selection activeCell="AB183" sqref="AB183:AB188"/>
    </sheetView>
  </sheetViews>
  <sheetFormatPr defaultRowHeight="12.75" outlineLevelRow="1"/>
  <cols>
    <col min="1" max="1" width="9.140625" style="2"/>
    <col min="2" max="2" width="9.140625" style="2" customWidth="1"/>
    <col min="3" max="3" width="32.85546875" style="2" customWidth="1"/>
    <col min="4" max="33" width="15.7109375" style="2" customWidth="1"/>
    <col min="34" max="16384" width="9.140625" style="2"/>
  </cols>
  <sheetData>
    <row r="2" spans="1:27">
      <c r="A2" s="1" t="s">
        <v>0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7">
      <c r="A3" s="1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7">
      <c r="A4" s="1"/>
      <c r="B4" s="5" t="s">
        <v>1</v>
      </c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Y4" s="6">
        <v>-241826</v>
      </c>
    </row>
    <row r="5" spans="1:27">
      <c r="A5" s="1"/>
      <c r="B5" s="1"/>
      <c r="E5" s="3" t="s">
        <v>2</v>
      </c>
      <c r="F5" s="4" t="s">
        <v>3</v>
      </c>
      <c r="G5" s="4"/>
      <c r="H5" s="4"/>
      <c r="I5" s="4" t="s">
        <v>4</v>
      </c>
      <c r="J5" s="4" t="s">
        <v>5</v>
      </c>
      <c r="K5" s="4" t="s">
        <v>6</v>
      </c>
      <c r="L5" s="4" t="s">
        <v>7</v>
      </c>
      <c r="M5" s="4" t="s">
        <v>7</v>
      </c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  <c r="S5" s="4" t="s">
        <v>13</v>
      </c>
      <c r="T5" s="4" t="s">
        <v>14</v>
      </c>
      <c r="U5" s="4" t="s">
        <v>15</v>
      </c>
      <c r="V5" s="4" t="s">
        <v>16</v>
      </c>
      <c r="W5" s="2" t="s">
        <v>7</v>
      </c>
      <c r="X5" s="4" t="s">
        <v>3</v>
      </c>
      <c r="Y5" s="4" t="s">
        <v>17</v>
      </c>
      <c r="Z5" s="4"/>
      <c r="AA5" s="4"/>
    </row>
    <row r="6" spans="1:27">
      <c r="C6" s="3" t="s">
        <v>18</v>
      </c>
      <c r="D6" s="7" t="s">
        <v>19</v>
      </c>
      <c r="E6" s="7" t="s">
        <v>20</v>
      </c>
      <c r="F6" s="7" t="s">
        <v>21</v>
      </c>
      <c r="G6" s="7" t="s">
        <v>22</v>
      </c>
      <c r="H6" s="7" t="s">
        <v>23</v>
      </c>
      <c r="I6" s="7" t="s">
        <v>24</v>
      </c>
      <c r="J6" s="7" t="s">
        <v>25</v>
      </c>
      <c r="K6" s="7" t="s">
        <v>26</v>
      </c>
      <c r="L6" s="7" t="s">
        <v>27</v>
      </c>
      <c r="M6" s="8" t="s">
        <v>28</v>
      </c>
      <c r="N6" s="8" t="s">
        <v>29</v>
      </c>
      <c r="O6" s="7" t="s">
        <v>30</v>
      </c>
      <c r="P6" s="7" t="s">
        <v>31</v>
      </c>
      <c r="Q6" s="7" t="s">
        <v>32</v>
      </c>
      <c r="R6" s="7" t="s">
        <v>33</v>
      </c>
      <c r="S6" s="7" t="s">
        <v>34</v>
      </c>
      <c r="T6" s="7" t="s">
        <v>35</v>
      </c>
      <c r="U6" s="7" t="s">
        <v>36</v>
      </c>
      <c r="V6" s="7" t="s">
        <v>37</v>
      </c>
      <c r="W6" s="3" t="s">
        <v>38</v>
      </c>
      <c r="X6" s="7" t="s">
        <v>39</v>
      </c>
      <c r="Y6" s="4" t="s">
        <v>40</v>
      </c>
      <c r="Z6" s="3"/>
      <c r="AA6" s="3"/>
    </row>
    <row r="7" spans="1:27">
      <c r="C7" s="2" t="s">
        <v>7</v>
      </c>
      <c r="D7" s="9" t="s">
        <v>7</v>
      </c>
      <c r="E7" s="10">
        <v>0</v>
      </c>
      <c r="F7" s="11">
        <v>0</v>
      </c>
      <c r="G7" s="9">
        <v>0</v>
      </c>
      <c r="H7" s="9">
        <v>0</v>
      </c>
      <c r="I7" s="12">
        <v>0</v>
      </c>
      <c r="J7" s="12">
        <v>0</v>
      </c>
      <c r="K7" s="11">
        <v>0</v>
      </c>
      <c r="L7" s="13">
        <v>0</v>
      </c>
      <c r="M7" s="13">
        <v>0</v>
      </c>
      <c r="N7" s="11">
        <v>0</v>
      </c>
      <c r="O7" s="14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3">
        <v>0</v>
      </c>
      <c r="X7" s="11">
        <v>0</v>
      </c>
      <c r="Y7" s="6"/>
    </row>
    <row r="8" spans="1:27">
      <c r="C8" s="2" t="s">
        <v>41</v>
      </c>
      <c r="D8" s="16" t="s">
        <v>42</v>
      </c>
      <c r="E8" s="17">
        <f>6*12.0107+14*1.00794+0*15.9994+0*14.0067+0*32.064</f>
        <v>86.175359999999998</v>
      </c>
      <c r="F8" s="18">
        <v>4747</v>
      </c>
      <c r="G8" s="19">
        <v>1</v>
      </c>
      <c r="H8" s="19">
        <v>1</v>
      </c>
      <c r="I8" s="20">
        <v>497.5</v>
      </c>
      <c r="J8" s="20">
        <v>30.1</v>
      </c>
      <c r="K8" s="21">
        <v>367</v>
      </c>
      <c r="L8" s="14">
        <v>0.26700000000000002</v>
      </c>
      <c r="M8" s="14">
        <v>0.27800000000000002</v>
      </c>
      <c r="N8" s="21">
        <v>0</v>
      </c>
      <c r="O8" s="14">
        <v>-10.57</v>
      </c>
      <c r="P8" s="15">
        <v>0.61839999999999995</v>
      </c>
      <c r="Q8" s="15">
        <v>-3.5730000000000001E-4</v>
      </c>
      <c r="R8" s="15">
        <v>8.0849999999999999E-8</v>
      </c>
      <c r="S8" s="15"/>
      <c r="T8" s="15"/>
      <c r="U8" s="15"/>
      <c r="V8" s="15"/>
      <c r="W8" s="13">
        <v>0</v>
      </c>
      <c r="X8" s="18">
        <v>4395</v>
      </c>
      <c r="Y8" s="6"/>
    </row>
    <row r="9" spans="1:27">
      <c r="C9" s="2" t="s">
        <v>43</v>
      </c>
      <c r="D9" s="19" t="s">
        <v>44</v>
      </c>
      <c r="E9" s="17">
        <f>2*12.0107+2*1.00794+0*15.9994+0*14.0067+0*32.064</f>
        <v>26.037279999999999</v>
      </c>
      <c r="F9" s="18">
        <v>1474</v>
      </c>
      <c r="G9" s="19">
        <v>1</v>
      </c>
      <c r="H9" s="19">
        <v>0</v>
      </c>
      <c r="I9" s="20">
        <v>308.3</v>
      </c>
      <c r="J9" s="20">
        <v>61.4</v>
      </c>
      <c r="K9" s="21">
        <v>112.7</v>
      </c>
      <c r="L9" s="14">
        <v>0.27</v>
      </c>
      <c r="M9" s="14">
        <v>0.19</v>
      </c>
      <c r="N9" s="21">
        <v>0</v>
      </c>
      <c r="O9" s="14">
        <v>26.82</v>
      </c>
      <c r="P9" s="15">
        <v>7.578E-2</v>
      </c>
      <c r="Q9" s="15">
        <v>-5.007E-5</v>
      </c>
      <c r="R9" s="15">
        <v>1.412E-8</v>
      </c>
      <c r="S9" s="15">
        <v>4.9991999999999997E-3</v>
      </c>
      <c r="T9" s="15">
        <v>-2.5732999999999999E-5</v>
      </c>
      <c r="U9" s="15">
        <v>3.5071E-7</v>
      </c>
      <c r="V9" s="15">
        <v>-2.7649999999999998E-10</v>
      </c>
      <c r="W9" s="13">
        <v>0</v>
      </c>
      <c r="X9" s="18">
        <v>1424</v>
      </c>
      <c r="Y9" s="6">
        <v>226900</v>
      </c>
    </row>
    <row r="10" spans="1:27">
      <c r="C10" s="2" t="s">
        <v>45</v>
      </c>
      <c r="D10" s="16" t="s">
        <v>46</v>
      </c>
      <c r="E10" s="17">
        <f>0*12.0107+3*1.00794+0*15.9994+1*14.0067+0*32.064</f>
        <v>17.030519999999999</v>
      </c>
      <c r="F10" s="18">
        <v>0</v>
      </c>
      <c r="G10" s="19">
        <v>0</v>
      </c>
      <c r="H10" s="19">
        <v>0</v>
      </c>
      <c r="I10" s="20">
        <v>405.5</v>
      </c>
      <c r="J10" s="20">
        <v>113.5</v>
      </c>
      <c r="K10" s="21">
        <v>72.5</v>
      </c>
      <c r="L10" s="14">
        <v>0.24399999999999999</v>
      </c>
      <c r="M10" s="14">
        <v>0.25</v>
      </c>
      <c r="N10" s="21">
        <v>1.5</v>
      </c>
      <c r="O10" s="14">
        <v>27.31</v>
      </c>
      <c r="P10" s="15">
        <v>2.383E-2</v>
      </c>
      <c r="Q10" s="15">
        <v>1.7070000000000001E-5</v>
      </c>
      <c r="R10" s="15">
        <v>-1.185E-8</v>
      </c>
      <c r="S10" s="15">
        <v>3.8109999999999999E-4</v>
      </c>
      <c r="T10" s="15">
        <v>5.3890000000000001E-5</v>
      </c>
      <c r="U10" s="15">
        <v>1.2270000000000001E-7</v>
      </c>
      <c r="V10" s="15">
        <v>-3.6350000000000002E-11</v>
      </c>
      <c r="W10" s="13">
        <v>0</v>
      </c>
      <c r="X10" s="18">
        <v>359.18</v>
      </c>
      <c r="Y10" s="6">
        <v>-45720</v>
      </c>
    </row>
    <row r="11" spans="1:27">
      <c r="C11" s="2" t="s">
        <v>47</v>
      </c>
      <c r="D11" s="19" t="s">
        <v>48</v>
      </c>
      <c r="E11" s="22">
        <v>39.948</v>
      </c>
      <c r="F11" s="21">
        <v>0</v>
      </c>
      <c r="G11" s="19">
        <v>0</v>
      </c>
      <c r="H11" s="19">
        <v>0</v>
      </c>
      <c r="I11" s="20">
        <v>150.80000000000001</v>
      </c>
      <c r="J11" s="20">
        <v>48.7</v>
      </c>
      <c r="K11" s="21">
        <v>74.900000000000006</v>
      </c>
      <c r="L11" s="14">
        <v>0.29099999999999998</v>
      </c>
      <c r="M11" s="14">
        <v>1E-3</v>
      </c>
      <c r="N11" s="21">
        <v>0</v>
      </c>
      <c r="O11" s="14">
        <v>20.8</v>
      </c>
      <c r="P11" s="15">
        <v>0</v>
      </c>
      <c r="Q11" s="15">
        <v>0</v>
      </c>
      <c r="R11" s="15">
        <v>0</v>
      </c>
      <c r="S11" s="15">
        <v>2.7139999999999998E-3</v>
      </c>
      <c r="T11" s="15">
        <v>5.5399999999999998E-5</v>
      </c>
      <c r="U11" s="15">
        <v>-2.7179999999999999E-8</v>
      </c>
      <c r="V11" s="15">
        <v>5.5279999999999999E-12</v>
      </c>
      <c r="W11" s="13">
        <v>0</v>
      </c>
      <c r="X11" s="21">
        <v>0</v>
      </c>
      <c r="Y11" s="6">
        <v>0</v>
      </c>
    </row>
    <row r="12" spans="1:27">
      <c r="C12" s="2" t="s">
        <v>49</v>
      </c>
      <c r="D12" s="16" t="s">
        <v>50</v>
      </c>
      <c r="E12" s="17">
        <f>6*12.0107+6*1.00794+0*15.9994+0*14.0067+0*32.064</f>
        <v>78.111840000000001</v>
      </c>
      <c r="F12" s="18">
        <v>3742</v>
      </c>
      <c r="G12" s="19">
        <v>1</v>
      </c>
      <c r="H12" s="19">
        <v>1</v>
      </c>
      <c r="I12" s="20">
        <v>562.20000000000005</v>
      </c>
      <c r="J12" s="20">
        <v>48.9</v>
      </c>
      <c r="K12" s="21">
        <v>259</v>
      </c>
      <c r="L12" s="14">
        <v>0.27100000000000002</v>
      </c>
      <c r="M12" s="14">
        <v>0.21199999999999999</v>
      </c>
      <c r="N12" s="21">
        <v>0</v>
      </c>
      <c r="O12" s="14">
        <v>-33.92</v>
      </c>
      <c r="P12" s="15">
        <v>0.47389999999999999</v>
      </c>
      <c r="Q12" s="15">
        <v>-3.0170000000000002E-4</v>
      </c>
      <c r="R12" s="15">
        <v>7.1299999999999997E-8</v>
      </c>
      <c r="S12" s="15">
        <v>-8.4550000000000007E-3</v>
      </c>
      <c r="T12" s="15">
        <v>3.6180000000000003E-5</v>
      </c>
      <c r="U12" s="15">
        <v>9.7990000000000006E-8</v>
      </c>
      <c r="V12" s="15">
        <v>-4.0579999999999997E-11</v>
      </c>
      <c r="W12" s="13">
        <v>0</v>
      </c>
      <c r="X12" s="18">
        <v>3591</v>
      </c>
      <c r="Y12" s="6"/>
    </row>
    <row r="13" spans="1:27">
      <c r="C13" s="2" t="s">
        <v>51</v>
      </c>
      <c r="D13" s="19" t="s">
        <v>52</v>
      </c>
      <c r="E13" s="17">
        <f>1*12.0107+0*1.00794+2*15.9994+0*14.0067+0*32.064</f>
        <v>44.009500000000003</v>
      </c>
      <c r="F13" s="18">
        <v>0</v>
      </c>
      <c r="G13" s="19">
        <v>0</v>
      </c>
      <c r="H13" s="19">
        <v>0</v>
      </c>
      <c r="I13" s="20">
        <v>304.10000000000002</v>
      </c>
      <c r="J13" s="20">
        <v>73.8</v>
      </c>
      <c r="K13" s="21">
        <v>93.9</v>
      </c>
      <c r="L13" s="14">
        <v>0.27400000000000002</v>
      </c>
      <c r="M13" s="14">
        <v>0.23899999999999999</v>
      </c>
      <c r="N13" s="21">
        <v>0</v>
      </c>
      <c r="O13" s="14">
        <v>19.8</v>
      </c>
      <c r="P13" s="15">
        <v>7.3440000000000005E-2</v>
      </c>
      <c r="Q13" s="15">
        <v>-5.6020000000000002E-5</v>
      </c>
      <c r="R13" s="15">
        <v>1.7150000000000001E-8</v>
      </c>
      <c r="S13" s="15">
        <v>-7.2150000000000001E-3</v>
      </c>
      <c r="T13" s="15">
        <v>8.0149999999999997E-5</v>
      </c>
      <c r="U13" s="15">
        <v>5.477E-9</v>
      </c>
      <c r="V13" s="15">
        <v>-1.053E-11</v>
      </c>
      <c r="W13" s="13">
        <v>0</v>
      </c>
      <c r="X13" s="18">
        <v>0</v>
      </c>
      <c r="Y13" s="6">
        <v>-393522</v>
      </c>
    </row>
    <row r="14" spans="1:27">
      <c r="C14" s="2" t="s">
        <v>53</v>
      </c>
      <c r="D14" s="19" t="s">
        <v>54</v>
      </c>
      <c r="E14" s="17">
        <f>1*12.0107+0*1.00794+1*15.9994+0*14.0067+0*32.064</f>
        <v>28.010100000000001</v>
      </c>
      <c r="F14" s="18">
        <v>320.5</v>
      </c>
      <c r="G14" s="19">
        <v>0</v>
      </c>
      <c r="H14" s="19">
        <v>0</v>
      </c>
      <c r="I14" s="20">
        <v>132.9</v>
      </c>
      <c r="J14" s="20">
        <v>35</v>
      </c>
      <c r="K14" s="21">
        <v>93.2</v>
      </c>
      <c r="L14" s="14">
        <v>0.29499999999999998</v>
      </c>
      <c r="M14" s="14">
        <v>6.6000000000000003E-2</v>
      </c>
      <c r="N14" s="21">
        <v>0.1</v>
      </c>
      <c r="O14" s="14">
        <v>30.87</v>
      </c>
      <c r="P14" s="15">
        <v>-1.285E-2</v>
      </c>
      <c r="Q14" s="15">
        <v>2.7889999999999999E-5</v>
      </c>
      <c r="R14" s="15">
        <v>-1.2720000000000001E-8</v>
      </c>
      <c r="S14" s="15">
        <v>5.0670000000000001E-4</v>
      </c>
      <c r="T14" s="15">
        <v>9.1249999999999995E-5</v>
      </c>
      <c r="U14" s="15">
        <v>-3.5240000000000003E-8</v>
      </c>
      <c r="V14" s="15">
        <v>8.1989999999999993E-12</v>
      </c>
      <c r="W14" s="13">
        <v>0</v>
      </c>
      <c r="X14" s="18">
        <v>320.5</v>
      </c>
      <c r="Y14" s="6">
        <v>-110527</v>
      </c>
    </row>
    <row r="15" spans="1:27">
      <c r="C15" s="2" t="s">
        <v>55</v>
      </c>
      <c r="D15" s="16" t="s">
        <v>56</v>
      </c>
      <c r="E15" s="17">
        <f>2*35.453</f>
        <v>70.906000000000006</v>
      </c>
      <c r="F15" s="18"/>
      <c r="G15" s="19">
        <v>0</v>
      </c>
      <c r="H15" s="19">
        <v>0</v>
      </c>
      <c r="I15" s="20">
        <v>416.9</v>
      </c>
      <c r="J15" s="20">
        <v>79.8</v>
      </c>
      <c r="K15" s="21">
        <v>123.8</v>
      </c>
      <c r="L15" s="14">
        <v>0.28499999999999998</v>
      </c>
      <c r="M15" s="14">
        <v>0.09</v>
      </c>
      <c r="N15" s="21">
        <v>0</v>
      </c>
      <c r="O15" s="14">
        <v>26.93</v>
      </c>
      <c r="P15" s="15">
        <v>3.3840000000000002E-2</v>
      </c>
      <c r="Q15" s="15">
        <v>-3.8689999999999997E-5</v>
      </c>
      <c r="R15" s="15">
        <v>1.5469999999999999E-8</v>
      </c>
      <c r="S15" s="15">
        <v>1.361E-3</v>
      </c>
      <c r="T15" s="15">
        <v>2.429E-5</v>
      </c>
      <c r="U15" s="15">
        <v>8.7939999999999992E-9</v>
      </c>
      <c r="V15" s="15">
        <v>-5.2350000000000002E-12</v>
      </c>
      <c r="W15" s="13">
        <v>0</v>
      </c>
      <c r="X15" s="18">
        <v>0</v>
      </c>
      <c r="Y15" s="6">
        <v>0</v>
      </c>
    </row>
    <row r="16" spans="1:27">
      <c r="C16" s="2" t="s">
        <v>57</v>
      </c>
      <c r="D16" s="16" t="s">
        <v>58</v>
      </c>
      <c r="E16" s="17">
        <f>4*12.0107+8*1.00794+0*15.9994+0*14.0067+0*32.064</f>
        <v>56.106319999999997</v>
      </c>
      <c r="F16" s="18">
        <v>2747</v>
      </c>
      <c r="G16" s="19">
        <v>1</v>
      </c>
      <c r="H16" s="19">
        <v>0</v>
      </c>
      <c r="I16" s="20">
        <v>460</v>
      </c>
      <c r="J16" s="20">
        <v>49.9</v>
      </c>
      <c r="K16" s="21">
        <v>210</v>
      </c>
      <c r="L16" s="14">
        <v>0.27400000000000002</v>
      </c>
      <c r="M16" s="14">
        <v>0.18099999999999999</v>
      </c>
      <c r="N16" s="21">
        <v>0</v>
      </c>
      <c r="O16" s="14">
        <v>-50.25</v>
      </c>
      <c r="P16" s="15">
        <v>0.50239999999999996</v>
      </c>
      <c r="Q16" s="15">
        <v>-3.5579999999999997E-4</v>
      </c>
      <c r="R16" s="15">
        <v>1.047E-7</v>
      </c>
      <c r="S16" s="15">
        <v>-9.7949999999999999E-3</v>
      </c>
      <c r="T16" s="15">
        <v>3.8229999999999998E-5</v>
      </c>
      <c r="U16" s="15">
        <v>1.4740000000000001E-7</v>
      </c>
      <c r="V16" s="15">
        <v>-6.2019999999999996E-11</v>
      </c>
      <c r="W16" s="13">
        <v>0</v>
      </c>
      <c r="X16" s="18">
        <v>2911</v>
      </c>
      <c r="Y16" s="6"/>
    </row>
    <row r="17" spans="3:25">
      <c r="C17" s="2" t="s">
        <v>59</v>
      </c>
      <c r="D17" s="16" t="s">
        <v>60</v>
      </c>
      <c r="E17" s="17">
        <f>6*12.0107+12*1.00794+0*15.9994+0*14.0067+0*32.064</f>
        <v>84.159480000000002</v>
      </c>
      <c r="F17" s="18">
        <v>4482</v>
      </c>
      <c r="G17" s="19">
        <v>1</v>
      </c>
      <c r="H17" s="19">
        <v>1</v>
      </c>
      <c r="I17" s="20">
        <v>553.5</v>
      </c>
      <c r="J17" s="20">
        <v>40.700000000000003</v>
      </c>
      <c r="K17" s="21">
        <v>308</v>
      </c>
      <c r="L17" s="14">
        <v>0.27300000000000002</v>
      </c>
      <c r="M17" s="14">
        <v>0.21199999999999999</v>
      </c>
      <c r="N17" s="21">
        <v>0.3</v>
      </c>
      <c r="O17" s="14">
        <v>-54.54</v>
      </c>
      <c r="P17" s="15">
        <v>0.61129999999999995</v>
      </c>
      <c r="Q17" s="15">
        <v>-2.5230000000000001E-4</v>
      </c>
      <c r="R17" s="15">
        <v>1.321E-8</v>
      </c>
      <c r="S17" s="15">
        <v>-8.6140000000000001E-3</v>
      </c>
      <c r="T17" s="15">
        <v>1.863E-5</v>
      </c>
      <c r="U17" s="15">
        <v>1.7039999999999999E-7</v>
      </c>
      <c r="V17" s="15">
        <v>-7.249E-11</v>
      </c>
      <c r="W17" s="13">
        <v>0</v>
      </c>
      <c r="X17" s="18">
        <v>4180</v>
      </c>
      <c r="Y17" s="6">
        <v>-123200</v>
      </c>
    </row>
    <row r="18" spans="3:25">
      <c r="C18" s="2" t="s">
        <v>61</v>
      </c>
      <c r="D18" s="16" t="s">
        <v>62</v>
      </c>
      <c r="E18" s="17">
        <f>5*12.0107+10*1.00794+0*15.9994+0*14.0067+0*32.064</f>
        <v>70.132900000000006</v>
      </c>
      <c r="F18" s="18">
        <v>3764</v>
      </c>
      <c r="G18" s="19">
        <v>1</v>
      </c>
      <c r="H18" s="19">
        <v>1</v>
      </c>
      <c r="I18" s="20">
        <v>511.7</v>
      </c>
      <c r="J18" s="20">
        <v>45.1</v>
      </c>
      <c r="K18" s="21">
        <v>260</v>
      </c>
      <c r="L18" s="14">
        <v>0.27500000000000002</v>
      </c>
      <c r="M18" s="14">
        <v>0.19600000000000001</v>
      </c>
      <c r="N18" s="21">
        <v>0</v>
      </c>
      <c r="O18" s="14">
        <v>-53.62</v>
      </c>
      <c r="P18" s="15">
        <v>0.54259999999999997</v>
      </c>
      <c r="Q18" s="15">
        <v>-3.0309999999999999E-4</v>
      </c>
      <c r="R18" s="15">
        <v>6.4850000000000002E-8</v>
      </c>
      <c r="S18" s="15">
        <v>-8.5220000000000001E-3</v>
      </c>
      <c r="T18" s="15">
        <v>2.4749999999999999E-5</v>
      </c>
      <c r="U18" s="15">
        <v>1.621E-7</v>
      </c>
      <c r="V18" s="15">
        <v>-6.9140000000000006E-11</v>
      </c>
      <c r="W18" s="13">
        <v>0</v>
      </c>
      <c r="X18" s="18">
        <v>3512</v>
      </c>
      <c r="Y18" s="6"/>
    </row>
    <row r="19" spans="3:25">
      <c r="C19" s="2" t="s">
        <v>63</v>
      </c>
      <c r="D19" s="16" t="s">
        <v>64</v>
      </c>
      <c r="E19" s="17">
        <f>3*12.0107+6*1.00794+0*15.9994+0*14.0067+0*32.064</f>
        <v>42.079740000000001</v>
      </c>
      <c r="F19" s="18">
        <v>2371</v>
      </c>
      <c r="G19" s="19">
        <v>1</v>
      </c>
      <c r="H19" s="19">
        <v>0</v>
      </c>
      <c r="I19" s="20">
        <v>397.8</v>
      </c>
      <c r="J19" s="20">
        <v>54.9</v>
      </c>
      <c r="K19" s="21">
        <v>163</v>
      </c>
      <c r="L19" s="14">
        <v>0.27400000000000002</v>
      </c>
      <c r="M19" s="14">
        <v>0.13</v>
      </c>
      <c r="N19" s="21">
        <v>0</v>
      </c>
      <c r="O19" s="14">
        <v>-35.24</v>
      </c>
      <c r="P19" s="15">
        <v>0.38129999999999997</v>
      </c>
      <c r="Q19" s="15">
        <v>-2.8810000000000001E-4</v>
      </c>
      <c r="R19" s="15">
        <v>9.0349999999999998E-8</v>
      </c>
      <c r="S19" s="15">
        <v>-8.5679999999999992E-3</v>
      </c>
      <c r="T19" s="15">
        <v>4.0790000000000001E-5</v>
      </c>
      <c r="U19" s="15">
        <v>1.579E-7</v>
      </c>
      <c r="V19" s="15">
        <v>-6.8169999999999996E-11</v>
      </c>
      <c r="W19" s="13">
        <v>0</v>
      </c>
      <c r="X19" s="18">
        <v>2220</v>
      </c>
      <c r="Y19" s="6">
        <v>53340</v>
      </c>
    </row>
    <row r="20" spans="3:25">
      <c r="C20" s="2" t="s">
        <v>65</v>
      </c>
      <c r="D20" s="16" t="s">
        <v>66</v>
      </c>
      <c r="E20" s="17">
        <f>2*12.0107+6*1.00794+0*15.9994+0*14.0067+0*32.064</f>
        <v>30.069040000000001</v>
      </c>
      <c r="F20" s="18">
        <v>1769.7</v>
      </c>
      <c r="G20" s="19">
        <v>1</v>
      </c>
      <c r="H20" s="19">
        <v>0</v>
      </c>
      <c r="I20" s="20">
        <v>305.39999999999998</v>
      </c>
      <c r="J20" s="20">
        <v>48.8</v>
      </c>
      <c r="K20" s="21">
        <v>148.30000000000001</v>
      </c>
      <c r="L20" s="14">
        <v>0.28499999999999998</v>
      </c>
      <c r="M20" s="14">
        <v>9.9000000000000005E-2</v>
      </c>
      <c r="N20" s="21">
        <v>0</v>
      </c>
      <c r="O20" s="14">
        <v>5.4089999999999998</v>
      </c>
      <c r="P20" s="15">
        <v>0.17810000000000001</v>
      </c>
      <c r="Q20" s="15">
        <v>-6.9380000000000003E-5</v>
      </c>
      <c r="R20" s="15">
        <v>8.713E-9</v>
      </c>
      <c r="S20" s="15">
        <v>-3.1739999999999997E-2</v>
      </c>
      <c r="T20" s="15">
        <v>2.2010000000000001E-4</v>
      </c>
      <c r="U20" s="15">
        <v>-1.9229999999999999E-7</v>
      </c>
      <c r="V20" s="15">
        <v>1.6639999999999999E-10</v>
      </c>
      <c r="W20" s="13">
        <v>0</v>
      </c>
      <c r="X20" s="18">
        <v>1618.7</v>
      </c>
      <c r="Y20" s="6">
        <v>-84740</v>
      </c>
    </row>
    <row r="21" spans="3:25">
      <c r="C21" s="2" t="s">
        <v>67</v>
      </c>
      <c r="D21" s="16" t="s">
        <v>68</v>
      </c>
      <c r="E21" s="17">
        <f>8*12.0107+10*1.00794+0*15.9994+0*14.0067+0*32.064</f>
        <v>106.16499999999999</v>
      </c>
      <c r="F21" s="18">
        <f>4975.84+5*50.312</f>
        <v>5227.4000000000005</v>
      </c>
      <c r="G21" s="19">
        <v>1</v>
      </c>
      <c r="H21" s="19">
        <v>1</v>
      </c>
      <c r="I21" s="20">
        <v>617.20000000000005</v>
      </c>
      <c r="J21" s="20">
        <v>36</v>
      </c>
      <c r="K21" s="21">
        <v>374</v>
      </c>
      <c r="L21" s="14">
        <v>0.26200000000000001</v>
      </c>
      <c r="M21" s="14">
        <v>0.30199999999999999</v>
      </c>
      <c r="N21" s="21">
        <v>0.4</v>
      </c>
      <c r="O21" s="14">
        <v>-43.1</v>
      </c>
      <c r="P21" s="15">
        <v>0.70720000000000005</v>
      </c>
      <c r="Q21" s="15">
        <v>-4.8109999999999998E-4</v>
      </c>
      <c r="R21" s="15">
        <v>1.3010000000000001E-7</v>
      </c>
      <c r="S21" s="15">
        <v>6.0300000000000002E-4</v>
      </c>
      <c r="T21" s="15">
        <v>-5.8629999999999996E-6</v>
      </c>
      <c r="U21" s="15">
        <v>2.1400000000000001E-7</v>
      </c>
      <c r="V21" s="15">
        <v>-8.9239999999999994E-11</v>
      </c>
      <c r="W21" s="13">
        <v>0</v>
      </c>
      <c r="X21" s="18">
        <v>4975.8</v>
      </c>
      <c r="Y21" s="6"/>
    </row>
    <row r="22" spans="3:25">
      <c r="C22" s="2" t="s">
        <v>69</v>
      </c>
      <c r="D22" s="19" t="s">
        <v>70</v>
      </c>
      <c r="E22" s="17">
        <f>2*12.0107+4*1.00794+0*15.9994+0*14.0067+0*32.064</f>
        <v>28.053159999999998</v>
      </c>
      <c r="F22" s="18">
        <v>1600</v>
      </c>
      <c r="G22" s="19">
        <v>1</v>
      </c>
      <c r="H22" s="19">
        <v>0</v>
      </c>
      <c r="I22" s="20">
        <v>282.39999999999998</v>
      </c>
      <c r="J22" s="20">
        <v>50.4</v>
      </c>
      <c r="K22" s="21">
        <v>130.4</v>
      </c>
      <c r="L22" s="14">
        <v>0.28000000000000003</v>
      </c>
      <c r="M22" s="14">
        <v>8.8999999999999996E-2</v>
      </c>
      <c r="N22" s="21">
        <v>0</v>
      </c>
      <c r="O22" s="14">
        <v>3.806</v>
      </c>
      <c r="P22" s="15">
        <v>0.15659999999999999</v>
      </c>
      <c r="Q22" s="15">
        <v>-8.3479999999999994E-5</v>
      </c>
      <c r="R22" s="15">
        <v>-1.366E-11</v>
      </c>
      <c r="S22" s="15">
        <v>-1.7600000000000001E-2</v>
      </c>
      <c r="T22" s="15">
        <v>1.2E-4</v>
      </c>
      <c r="U22" s="15">
        <v>3.3349999999999998E-8</v>
      </c>
      <c r="V22" s="15">
        <v>-1.366E-11</v>
      </c>
      <c r="W22" s="13">
        <v>0</v>
      </c>
      <c r="X22" s="18">
        <v>1499</v>
      </c>
      <c r="Y22" s="6">
        <v>52340</v>
      </c>
    </row>
    <row r="23" spans="3:25">
      <c r="C23" s="2" t="s">
        <v>71</v>
      </c>
      <c r="D23" s="16" t="s">
        <v>72</v>
      </c>
      <c r="E23" s="17">
        <v>4.0026020000000004</v>
      </c>
      <c r="F23" s="18">
        <v>0</v>
      </c>
      <c r="G23" s="19">
        <v>0</v>
      </c>
      <c r="H23" s="19">
        <v>0</v>
      </c>
      <c r="I23" s="20">
        <v>5.19</v>
      </c>
      <c r="J23" s="20">
        <v>2.27</v>
      </c>
      <c r="K23" s="21">
        <v>57.4</v>
      </c>
      <c r="L23" s="14">
        <v>0.30199999999999999</v>
      </c>
      <c r="M23" s="14">
        <v>-0.36499999999999999</v>
      </c>
      <c r="N23" s="21">
        <v>0</v>
      </c>
      <c r="O23" s="14">
        <v>20.8</v>
      </c>
      <c r="P23" s="15">
        <v>0</v>
      </c>
      <c r="Q23" s="15">
        <v>0</v>
      </c>
      <c r="R23" s="15">
        <v>0</v>
      </c>
      <c r="S23" s="15">
        <v>3.7220000000000003E-2</v>
      </c>
      <c r="T23" s="15">
        <v>3.8959999999999998E-4</v>
      </c>
      <c r="U23" s="15">
        <v>-7.4499999999999999E-8</v>
      </c>
      <c r="V23" s="15">
        <v>1.1290000000000001E-11</v>
      </c>
      <c r="W23" s="13">
        <v>0</v>
      </c>
      <c r="X23" s="18">
        <v>0</v>
      </c>
      <c r="Y23" s="6">
        <v>0</v>
      </c>
    </row>
    <row r="24" spans="3:25">
      <c r="C24" s="2" t="s">
        <v>73</v>
      </c>
      <c r="D24" s="16" t="s">
        <v>74</v>
      </c>
      <c r="E24" s="17">
        <f>7*12.0107+16*1.00794+0*15.9994+0*14.0067+0*32.064</f>
        <v>100.20194000000001</v>
      </c>
      <c r="F24" s="18">
        <v>5502.5</v>
      </c>
      <c r="G24" s="19">
        <v>1</v>
      </c>
      <c r="H24" s="19">
        <v>1</v>
      </c>
      <c r="I24" s="20">
        <v>540.29999999999995</v>
      </c>
      <c r="J24" s="20">
        <v>27.4</v>
      </c>
      <c r="K24" s="21">
        <v>432</v>
      </c>
      <c r="L24" s="14">
        <v>0.26300000000000001</v>
      </c>
      <c r="M24" s="14">
        <v>0.34899999999999998</v>
      </c>
      <c r="N24" s="21">
        <v>0</v>
      </c>
      <c r="O24" s="14">
        <v>-5.1459999999999999</v>
      </c>
      <c r="P24" s="15">
        <v>0.67620000000000002</v>
      </c>
      <c r="Q24" s="15">
        <v>-3.6509999999999998E-4</v>
      </c>
      <c r="R24" s="15">
        <v>7.6580000000000001E-8</v>
      </c>
      <c r="S24" s="15"/>
      <c r="T24" s="15"/>
      <c r="U24" s="15"/>
      <c r="V24" s="15"/>
      <c r="W24" s="13">
        <v>0</v>
      </c>
      <c r="X24" s="18">
        <v>5100.3</v>
      </c>
      <c r="Y24" s="6"/>
    </row>
    <row r="25" spans="3:25">
      <c r="C25" s="2" t="s">
        <v>75</v>
      </c>
      <c r="D25" s="19" t="s">
        <v>76</v>
      </c>
      <c r="E25" s="17">
        <f>6*12.0107+14*1.00794+0*15.9994+0*14.0067+0*32.064</f>
        <v>86.175359999999998</v>
      </c>
      <c r="F25" s="21">
        <v>4755.8999999999996</v>
      </c>
      <c r="G25" s="19">
        <v>1</v>
      </c>
      <c r="H25" s="19">
        <v>1</v>
      </c>
      <c r="I25" s="20">
        <v>507.5</v>
      </c>
      <c r="J25" s="20">
        <v>30.1</v>
      </c>
      <c r="K25" s="21">
        <v>370</v>
      </c>
      <c r="L25" s="14">
        <v>0.26400000000000001</v>
      </c>
      <c r="M25" s="14">
        <v>0.29899999999999999</v>
      </c>
      <c r="N25" s="21">
        <v>0</v>
      </c>
      <c r="O25" s="14">
        <v>-4.4130000000000003</v>
      </c>
      <c r="P25" s="15">
        <v>0.58199999999999996</v>
      </c>
      <c r="Q25" s="15">
        <v>-3.1189999999999999E-4</v>
      </c>
      <c r="R25" s="15">
        <v>6.4939999999999998E-8</v>
      </c>
      <c r="S25" s="15">
        <v>4.6932000000000002E-6</v>
      </c>
      <c r="T25" s="15">
        <v>-1.1597000000000001E-6</v>
      </c>
      <c r="U25" s="15">
        <v>1.5046000000000001E-7</v>
      </c>
      <c r="V25" s="15">
        <v>-9.6151999999999997E-12</v>
      </c>
      <c r="W25" s="13">
        <v>0</v>
      </c>
      <c r="X25" s="21">
        <v>4403.8999999999996</v>
      </c>
      <c r="Y25" s="6">
        <v>-167300</v>
      </c>
    </row>
    <row r="26" spans="3:25">
      <c r="C26" s="2" t="s">
        <v>77</v>
      </c>
      <c r="D26" s="16" t="s">
        <v>78</v>
      </c>
      <c r="E26" s="17">
        <f>0*12.0107+2*1.00794+0*15.9994+0*14.0067+0*32.064</f>
        <v>2.0158800000000001</v>
      </c>
      <c r="F26" s="18">
        <v>324.2</v>
      </c>
      <c r="G26" s="19">
        <v>0</v>
      </c>
      <c r="H26" s="19">
        <v>0</v>
      </c>
      <c r="I26" s="20">
        <v>33.200000000000003</v>
      </c>
      <c r="J26" s="20">
        <v>13</v>
      </c>
      <c r="K26" s="21">
        <v>65.099999999999994</v>
      </c>
      <c r="L26" s="14">
        <v>0.30599999999999999</v>
      </c>
      <c r="M26" s="14">
        <v>-0.218</v>
      </c>
      <c r="N26" s="21">
        <v>0</v>
      </c>
      <c r="O26" s="14">
        <v>27.14</v>
      </c>
      <c r="P26" s="15">
        <v>9.2739999999999993E-3</v>
      </c>
      <c r="Q26" s="15">
        <v>-1.381E-5</v>
      </c>
      <c r="R26" s="15">
        <v>7.645E-9</v>
      </c>
      <c r="S26" s="15">
        <v>8.0990000000000003E-3</v>
      </c>
      <c r="T26" s="15">
        <v>6.6890000000000005E-4</v>
      </c>
      <c r="U26" s="15">
        <v>-4.158E-7</v>
      </c>
      <c r="V26" s="15">
        <v>1.5619999999999999E-10</v>
      </c>
      <c r="W26" s="13">
        <v>0</v>
      </c>
      <c r="X26" s="18">
        <v>273.93</v>
      </c>
      <c r="Y26" s="6">
        <v>0</v>
      </c>
    </row>
    <row r="27" spans="3:25">
      <c r="C27" s="2" t="s">
        <v>79</v>
      </c>
      <c r="D27" s="19" t="s">
        <v>80</v>
      </c>
      <c r="E27" s="17">
        <f>0*12.0107+2*1.00794+0*15.9994+0*14.0067+1*32.064</f>
        <v>34.079880000000003</v>
      </c>
      <c r="F27" s="21">
        <v>637.1</v>
      </c>
      <c r="G27" s="19">
        <v>0</v>
      </c>
      <c r="H27" s="19">
        <v>0</v>
      </c>
      <c r="I27" s="20">
        <v>373.2</v>
      </c>
      <c r="J27" s="20">
        <v>89.4</v>
      </c>
      <c r="K27" s="21">
        <v>98.6</v>
      </c>
      <c r="L27" s="14">
        <v>0.28399999999999997</v>
      </c>
      <c r="M27" s="14">
        <v>8.1000000000000003E-2</v>
      </c>
      <c r="N27" s="21">
        <v>0.9</v>
      </c>
      <c r="O27" s="14">
        <v>31.94</v>
      </c>
      <c r="P27" s="15">
        <v>1.436E-3</v>
      </c>
      <c r="Q27" s="15">
        <v>2.4320000000000001E-5</v>
      </c>
      <c r="R27" s="15">
        <v>-1.1760000000000001E-8</v>
      </c>
      <c r="S27" s="15">
        <v>1.4310000000000001E-4</v>
      </c>
      <c r="T27" s="15">
        <v>4.9929999999999998E-5</v>
      </c>
      <c r="U27" s="15">
        <v>2.5559999999999999E-8</v>
      </c>
      <c r="V27" s="15">
        <v>-1.226E-11</v>
      </c>
      <c r="W27" s="13">
        <v>0</v>
      </c>
      <c r="X27" s="21">
        <v>586.79999999999995</v>
      </c>
      <c r="Y27" s="6">
        <v>-20180</v>
      </c>
    </row>
    <row r="28" spans="3:25">
      <c r="C28" s="2" t="s">
        <v>81</v>
      </c>
      <c r="D28" s="16" t="s">
        <v>82</v>
      </c>
      <c r="E28" s="17">
        <f>4*12.0107+10*1.00794+0*15.9994+0*14.0067+0*32.064</f>
        <v>58.122199999999999</v>
      </c>
      <c r="F28" s="21">
        <v>3251.6</v>
      </c>
      <c r="G28" s="19">
        <v>1</v>
      </c>
      <c r="H28" s="19">
        <v>0</v>
      </c>
      <c r="I28" s="20">
        <v>408.2</v>
      </c>
      <c r="J28" s="20">
        <v>36.5</v>
      </c>
      <c r="K28" s="21">
        <v>263</v>
      </c>
      <c r="L28" s="14">
        <v>0.28299999999999997</v>
      </c>
      <c r="M28" s="14">
        <v>0.183</v>
      </c>
      <c r="N28" s="21">
        <v>0.1</v>
      </c>
      <c r="O28" s="14">
        <v>-1.39</v>
      </c>
      <c r="P28" s="15">
        <v>0.38469999999999999</v>
      </c>
      <c r="Q28" s="15">
        <v>-1.8459999999999999E-4</v>
      </c>
      <c r="R28" s="15">
        <v>2.8950000000000001E-8</v>
      </c>
      <c r="S28" s="15">
        <v>1.5021999999999999E-5</v>
      </c>
      <c r="T28" s="15">
        <v>3.4648000000000002E-7</v>
      </c>
      <c r="U28" s="15">
        <v>1.5122E-7</v>
      </c>
      <c r="V28" s="15">
        <v>6.8097999999999998E-11</v>
      </c>
      <c r="W28" s="13">
        <v>0</v>
      </c>
      <c r="X28" s="21">
        <v>3000.4</v>
      </c>
      <c r="Y28" s="6">
        <v>-134600</v>
      </c>
    </row>
    <row r="29" spans="3:25">
      <c r="C29" s="2" t="s">
        <v>83</v>
      </c>
      <c r="D29" s="16" t="s">
        <v>84</v>
      </c>
      <c r="E29" s="17">
        <f>5*12.0107+12*1.00794+0*15.9994+0*14.0067+0*32.064</f>
        <v>72.148780000000002</v>
      </c>
      <c r="F29" s="21">
        <v>4000.9</v>
      </c>
      <c r="G29" s="19">
        <v>1</v>
      </c>
      <c r="H29" s="19">
        <v>1</v>
      </c>
      <c r="I29" s="20">
        <v>460.4</v>
      </c>
      <c r="J29" s="20">
        <v>33.9</v>
      </c>
      <c r="K29" s="21">
        <v>306</v>
      </c>
      <c r="L29" s="14">
        <v>0.27100000000000002</v>
      </c>
      <c r="M29" s="14">
        <v>0.22700000000000001</v>
      </c>
      <c r="N29" s="21">
        <v>0.1</v>
      </c>
      <c r="O29" s="14">
        <v>-95.25</v>
      </c>
      <c r="P29" s="15">
        <v>0.50660000000000005</v>
      </c>
      <c r="Q29" s="15">
        <v>-2.7290000000000002E-4</v>
      </c>
      <c r="R29" s="15">
        <v>5.7229999999999997E-8</v>
      </c>
      <c r="S29" s="15">
        <v>-6.0450729999999998E-3</v>
      </c>
      <c r="T29" s="15">
        <v>3.9852570000000003E-5</v>
      </c>
      <c r="U29" s="15">
        <v>1.023982E-7</v>
      </c>
      <c r="V29" s="15">
        <v>0</v>
      </c>
      <c r="W29" s="13">
        <v>0</v>
      </c>
      <c r="X29" s="21">
        <v>3699</v>
      </c>
      <c r="Y29" s="6"/>
    </row>
    <row r="30" spans="3:25">
      <c r="C30" s="2" t="s">
        <v>588</v>
      </c>
      <c r="D30" s="16" t="s">
        <v>589</v>
      </c>
      <c r="E30" s="17">
        <v>83.798000000000002</v>
      </c>
      <c r="F30" s="21">
        <v>0</v>
      </c>
      <c r="G30" s="19">
        <v>0</v>
      </c>
      <c r="H30" s="19">
        <v>0</v>
      </c>
      <c r="I30" s="20">
        <f>-63.67+273.15</f>
        <v>209.47999999999996</v>
      </c>
      <c r="J30" s="20">
        <v>55.249758999999997</v>
      </c>
      <c r="K30" s="21">
        <v>92.165898619999993</v>
      </c>
      <c r="L30" s="14">
        <f>(J30*K30)/(I30*83.13)</f>
        <v>0.29241544251150769</v>
      </c>
      <c r="M30" s="14">
        <v>-8.8999999999999995E-4</v>
      </c>
      <c r="N30" s="21">
        <v>0</v>
      </c>
      <c r="O30" s="14">
        <v>20.8</v>
      </c>
      <c r="P30" s="15">
        <v>0</v>
      </c>
      <c r="Q30" s="15">
        <v>0</v>
      </c>
      <c r="R30" s="15">
        <v>0</v>
      </c>
      <c r="S30" s="15">
        <v>2.9255999999999999E-5</v>
      </c>
      <c r="T30" s="15">
        <v>3.6518000000000003E-8</v>
      </c>
      <c r="U30" s="15">
        <v>-1.3385999999999999E-10</v>
      </c>
      <c r="V30" s="15">
        <v>1.1928999999999999E-13</v>
      </c>
      <c r="W30" s="13">
        <v>0</v>
      </c>
      <c r="X30" s="21">
        <v>0</v>
      </c>
      <c r="Y30" s="6"/>
    </row>
    <row r="31" spans="3:25">
      <c r="C31" s="2" t="s">
        <v>85</v>
      </c>
      <c r="D31" s="16" t="s">
        <v>86</v>
      </c>
      <c r="E31" s="17">
        <f>1*12.0107+4*1.00794+0*15.9994+0*14.0067+0*32.064</f>
        <v>16.042459999999998</v>
      </c>
      <c r="F31" s="18">
        <v>1010</v>
      </c>
      <c r="G31" s="19">
        <v>0</v>
      </c>
      <c r="H31" s="19">
        <v>0</v>
      </c>
      <c r="I31" s="20">
        <v>190.4</v>
      </c>
      <c r="J31" s="20">
        <v>46</v>
      </c>
      <c r="K31" s="21">
        <v>99.2</v>
      </c>
      <c r="L31" s="14">
        <v>0.28799999999999998</v>
      </c>
      <c r="M31" s="14">
        <v>1.0999999999999999E-2</v>
      </c>
      <c r="N31" s="21">
        <v>0</v>
      </c>
      <c r="O31" s="14">
        <v>19.25</v>
      </c>
      <c r="P31" s="15">
        <v>5.2130000000000003E-2</v>
      </c>
      <c r="Q31" s="15">
        <v>1.1970000000000001E-5</v>
      </c>
      <c r="R31" s="15">
        <v>-1.132E-8</v>
      </c>
      <c r="S31" s="15">
        <v>-1.869E-3</v>
      </c>
      <c r="T31" s="15">
        <v>8.7269999999999996E-5</v>
      </c>
      <c r="U31" s="15">
        <v>1.179E-7</v>
      </c>
      <c r="V31" s="15">
        <v>-3.6139999999999997E-11</v>
      </c>
      <c r="W31" s="13">
        <v>0</v>
      </c>
      <c r="X31" s="18">
        <v>909.4</v>
      </c>
      <c r="Y31" s="6">
        <v>-74873</v>
      </c>
    </row>
    <row r="32" spans="3:25">
      <c r="C32" s="2" t="s">
        <v>87</v>
      </c>
      <c r="D32" s="16" t="s">
        <v>60</v>
      </c>
      <c r="E32" s="17">
        <f>6*12.0107+12*1.00794+0*15.9994+0*14.0067+0*32.064</f>
        <v>84.159480000000002</v>
      </c>
      <c r="F32" s="18">
        <f>4202.64+6*50.312</f>
        <v>4504.5120000000006</v>
      </c>
      <c r="G32" s="19">
        <v>1</v>
      </c>
      <c r="H32" s="19">
        <v>1</v>
      </c>
      <c r="I32" s="20">
        <v>532.70000000000005</v>
      </c>
      <c r="J32" s="20">
        <v>37.799999999999997</v>
      </c>
      <c r="K32" s="21">
        <v>319</v>
      </c>
      <c r="L32" s="14">
        <v>0.27200000000000002</v>
      </c>
      <c r="M32" s="14">
        <v>0.23100000000000001</v>
      </c>
      <c r="N32" s="21">
        <v>0</v>
      </c>
      <c r="O32" s="14">
        <v>-50.11</v>
      </c>
      <c r="P32" s="15">
        <v>0.6381</v>
      </c>
      <c r="Q32" s="15">
        <v>-3.6420000000000002E-4</v>
      </c>
      <c r="R32" s="15">
        <v>8.0140000000000002E-8</v>
      </c>
      <c r="S32" s="15"/>
      <c r="T32" s="15"/>
      <c r="U32" s="15"/>
      <c r="V32" s="15"/>
      <c r="W32" s="13">
        <v>0</v>
      </c>
      <c r="X32" s="18">
        <v>4202.6400000000003</v>
      </c>
      <c r="Y32" s="6"/>
    </row>
    <row r="33" spans="3:25">
      <c r="C33" s="2" t="s">
        <v>88</v>
      </c>
      <c r="D33" s="19" t="s">
        <v>89</v>
      </c>
      <c r="E33" s="17">
        <f>0*12.0107+0*1.00794+0*15.9994+2*14.0067+0*32.064</f>
        <v>28.013400000000001</v>
      </c>
      <c r="F33" s="18">
        <v>0</v>
      </c>
      <c r="G33" s="19">
        <v>0</v>
      </c>
      <c r="H33" s="19">
        <v>0</v>
      </c>
      <c r="I33" s="20">
        <v>126.2</v>
      </c>
      <c r="J33" s="20">
        <v>33.9</v>
      </c>
      <c r="K33" s="21">
        <v>89.8</v>
      </c>
      <c r="L33" s="14">
        <v>0.28999999999999998</v>
      </c>
      <c r="M33" s="14">
        <v>3.9E-2</v>
      </c>
      <c r="N33" s="21">
        <v>0</v>
      </c>
      <c r="O33" s="14">
        <v>31.15</v>
      </c>
      <c r="P33" s="15">
        <v>-1.357E-2</v>
      </c>
      <c r="Q33" s="15">
        <v>2.6800000000000001E-5</v>
      </c>
      <c r="R33" s="15">
        <v>-1.1679999999999999E-8</v>
      </c>
      <c r="S33" s="15">
        <v>3.9189999999999998E-4</v>
      </c>
      <c r="T33" s="15">
        <v>9.8159999999999995E-5</v>
      </c>
      <c r="U33" s="15">
        <v>-5.0670000000000003E-8</v>
      </c>
      <c r="V33" s="15">
        <v>1.5040000000000001E-11</v>
      </c>
      <c r="W33" s="13">
        <v>0</v>
      </c>
      <c r="X33" s="18">
        <v>0</v>
      </c>
      <c r="Y33" s="6">
        <v>0</v>
      </c>
    </row>
    <row r="34" spans="3:25">
      <c r="C34" s="2" t="s">
        <v>90</v>
      </c>
      <c r="D34" s="16" t="s">
        <v>91</v>
      </c>
      <c r="E34" s="17">
        <f>4*12.0107+10*1.00794+0*15.9994+0*14.0067+0*32.064</f>
        <v>58.122199999999999</v>
      </c>
      <c r="F34" s="21">
        <v>3262.3</v>
      </c>
      <c r="G34" s="19">
        <v>1</v>
      </c>
      <c r="H34" s="19">
        <v>0</v>
      </c>
      <c r="I34" s="20">
        <v>425.2</v>
      </c>
      <c r="J34" s="20">
        <v>38</v>
      </c>
      <c r="K34" s="21">
        <v>255</v>
      </c>
      <c r="L34" s="14">
        <v>0.27400000000000002</v>
      </c>
      <c r="M34" s="14">
        <v>0.19900000000000001</v>
      </c>
      <c r="N34" s="21">
        <v>0</v>
      </c>
      <c r="O34" s="14">
        <v>9.4870000000000001</v>
      </c>
      <c r="P34" s="15">
        <v>0.33129999999999998</v>
      </c>
      <c r="Q34" s="15">
        <v>-1.108E-4</v>
      </c>
      <c r="R34" s="15">
        <v>-2.822E-9</v>
      </c>
      <c r="S34" s="15">
        <v>1.3203999999999999E-5</v>
      </c>
      <c r="T34" s="15">
        <v>6.3307999999999996E-6</v>
      </c>
      <c r="U34" s="15">
        <v>1.5937999999999999E-7</v>
      </c>
      <c r="V34" s="15">
        <v>-1.2069E-11</v>
      </c>
      <c r="W34" s="13">
        <v>0</v>
      </c>
      <c r="X34" s="21">
        <v>3010.8</v>
      </c>
      <c r="Y34" s="6">
        <v>-126200</v>
      </c>
    </row>
    <row r="35" spans="3:25">
      <c r="C35" s="2" t="s">
        <v>92</v>
      </c>
      <c r="D35" s="16" t="s">
        <v>93</v>
      </c>
      <c r="E35" s="17">
        <f>5*12.0107+12*1.00794+0*15.9994+0*14.0067+0*32.064</f>
        <v>72.148780000000002</v>
      </c>
      <c r="F35" s="21">
        <v>4008.9</v>
      </c>
      <c r="G35" s="19">
        <v>1</v>
      </c>
      <c r="H35" s="19">
        <v>1</v>
      </c>
      <c r="I35" s="20">
        <v>469.7</v>
      </c>
      <c r="J35" s="20">
        <v>33.700000000000003</v>
      </c>
      <c r="K35" s="21">
        <v>304</v>
      </c>
      <c r="L35" s="14">
        <v>0.26300000000000001</v>
      </c>
      <c r="M35" s="14">
        <v>0.251</v>
      </c>
      <c r="N35" s="21">
        <v>0</v>
      </c>
      <c r="O35" s="14">
        <v>-3.6259999999999999</v>
      </c>
      <c r="P35" s="15">
        <v>0.48730000000000001</v>
      </c>
      <c r="Q35" s="15">
        <v>-2.5799999999999998E-4</v>
      </c>
      <c r="R35" s="15">
        <v>5.3050000000000002E-8</v>
      </c>
      <c r="S35" s="15">
        <v>1.3200000000000001E-5</v>
      </c>
      <c r="T35" s="15">
        <v>2.1339999999999998E-6</v>
      </c>
      <c r="U35" s="15">
        <v>2.367E-7</v>
      </c>
      <c r="V35" s="15">
        <v>-1.8030000000000001E-11</v>
      </c>
      <c r="W35" s="13">
        <v>0</v>
      </c>
      <c r="X35" s="21">
        <v>3703.9</v>
      </c>
      <c r="Y35" s="6">
        <v>-146500</v>
      </c>
    </row>
    <row r="36" spans="3:25">
      <c r="C36" s="2" t="s">
        <v>94</v>
      </c>
      <c r="D36" s="16" t="s">
        <v>95</v>
      </c>
      <c r="E36" s="17">
        <f>8*12.0107+18*1.00794+0*15.9994+0*14.0067+0*32.064</f>
        <v>114.22852</v>
      </c>
      <c r="F36" s="18">
        <v>6248.9</v>
      </c>
      <c r="G36" s="19">
        <v>1</v>
      </c>
      <c r="H36" s="19">
        <v>1</v>
      </c>
      <c r="I36" s="20">
        <v>568.79999999999995</v>
      </c>
      <c r="J36" s="20">
        <v>24.9</v>
      </c>
      <c r="K36" s="21">
        <v>492</v>
      </c>
      <c r="L36" s="14">
        <v>0.25900000000000001</v>
      </c>
      <c r="M36" s="14">
        <v>0.39800000000000002</v>
      </c>
      <c r="N36" s="21">
        <v>0</v>
      </c>
      <c r="O36" s="14">
        <v>-6.0960000000000001</v>
      </c>
      <c r="P36" s="15">
        <v>0.7712</v>
      </c>
      <c r="Q36" s="15">
        <v>-4.1950000000000001E-4</v>
      </c>
      <c r="R36" s="15">
        <v>8.8549999999999996E-8</v>
      </c>
      <c r="S36" s="15"/>
      <c r="T36" s="15"/>
      <c r="U36" s="15"/>
      <c r="V36" s="15"/>
      <c r="W36" s="13">
        <v>0</v>
      </c>
      <c r="X36" s="18">
        <v>5796.2</v>
      </c>
      <c r="Y36" s="6"/>
    </row>
    <row r="37" spans="3:25">
      <c r="C37" s="2" t="s">
        <v>96</v>
      </c>
      <c r="D37" s="19" t="s">
        <v>97</v>
      </c>
      <c r="E37" s="17">
        <f>0*12.0107+0*1.00794+2*15.9994+0*14.0067+0*32.064</f>
        <v>31.998799999999999</v>
      </c>
      <c r="F37" s="21">
        <v>0</v>
      </c>
      <c r="G37" s="19">
        <v>0</v>
      </c>
      <c r="H37" s="19">
        <v>0</v>
      </c>
      <c r="I37" s="20">
        <v>154.6</v>
      </c>
      <c r="J37" s="20">
        <v>50.4</v>
      </c>
      <c r="K37" s="21">
        <v>73.400000000000006</v>
      </c>
      <c r="L37" s="14">
        <v>0.28799999999999998</v>
      </c>
      <c r="M37" s="14">
        <v>2.5000000000000001E-2</v>
      </c>
      <c r="N37" s="21">
        <v>0</v>
      </c>
      <c r="O37" s="14">
        <v>28.11</v>
      </c>
      <c r="P37" s="15">
        <v>-3.6799999999999999E-6</v>
      </c>
      <c r="Q37" s="15">
        <v>1.7459999999999999E-5</v>
      </c>
      <c r="R37" s="15">
        <v>-1.0649999999999999E-8</v>
      </c>
      <c r="S37" s="15">
        <v>-3.2729999999999999E-4</v>
      </c>
      <c r="T37" s="15">
        <v>9.9660000000000005E-5</v>
      </c>
      <c r="U37" s="15">
        <v>-3.7429999999999998E-8</v>
      </c>
      <c r="V37" s="15">
        <v>9.7319999999999993E-12</v>
      </c>
      <c r="W37" s="13">
        <v>0</v>
      </c>
      <c r="X37" s="21">
        <v>0</v>
      </c>
      <c r="Y37" s="6">
        <v>0</v>
      </c>
    </row>
    <row r="38" spans="3:25">
      <c r="C38" s="2" t="s">
        <v>98</v>
      </c>
      <c r="D38" s="16" t="s">
        <v>99</v>
      </c>
      <c r="E38" s="17">
        <f>3*12.0107+8*1.00794+0*15.9994+0*14.0067+0*32.064</f>
        <v>44.095619999999997</v>
      </c>
      <c r="F38" s="18">
        <v>2516.1</v>
      </c>
      <c r="G38" s="19">
        <v>1</v>
      </c>
      <c r="H38" s="19">
        <v>0</v>
      </c>
      <c r="I38" s="20">
        <v>369.8</v>
      </c>
      <c r="J38" s="20">
        <v>42.5</v>
      </c>
      <c r="K38" s="21">
        <v>203</v>
      </c>
      <c r="L38" s="14">
        <v>0.28100000000000003</v>
      </c>
      <c r="M38" s="14">
        <v>0.153</v>
      </c>
      <c r="N38" s="21">
        <v>0</v>
      </c>
      <c r="O38" s="14">
        <v>-4.2240000000000002</v>
      </c>
      <c r="P38" s="15">
        <v>0.30630000000000002</v>
      </c>
      <c r="Q38" s="15">
        <v>-1.5860000000000001E-4</v>
      </c>
      <c r="R38" s="15">
        <v>3.215E-8</v>
      </c>
      <c r="S38" s="15">
        <v>1.8580000000000001E-3</v>
      </c>
      <c r="T38" s="15">
        <v>-4.6979999999999997E-6</v>
      </c>
      <c r="U38" s="15">
        <v>2.177E-7</v>
      </c>
      <c r="V38" s="15">
        <v>-8.4090000000000004E-11</v>
      </c>
      <c r="W38" s="13">
        <v>0</v>
      </c>
      <c r="X38" s="18">
        <v>2314.9</v>
      </c>
      <c r="Y38" s="6">
        <v>-103900</v>
      </c>
    </row>
    <row r="39" spans="3:25">
      <c r="C39" s="2" t="s">
        <v>100</v>
      </c>
      <c r="D39" s="16" t="s">
        <v>64</v>
      </c>
      <c r="E39" s="17">
        <f>3*12.0107+6*1.00794+0*15.9994+0*14.0067+0*32.064</f>
        <v>42.079740000000001</v>
      </c>
      <c r="F39" s="18">
        <v>2333</v>
      </c>
      <c r="G39" s="19">
        <v>1</v>
      </c>
      <c r="H39" s="19">
        <v>0</v>
      </c>
      <c r="I39" s="20">
        <v>364.9</v>
      </c>
      <c r="J39" s="20">
        <v>46</v>
      </c>
      <c r="K39" s="21">
        <v>181</v>
      </c>
      <c r="L39" s="14">
        <v>0.27400000000000002</v>
      </c>
      <c r="M39" s="14">
        <v>0.14399999999999999</v>
      </c>
      <c r="N39" s="21">
        <v>0.4</v>
      </c>
      <c r="O39" s="14">
        <v>3.71</v>
      </c>
      <c r="P39" s="15">
        <v>0.23449999999999999</v>
      </c>
      <c r="Q39" s="15">
        <v>-1.16E-4</v>
      </c>
      <c r="R39" s="15">
        <v>2.2049999999999999E-8</v>
      </c>
      <c r="S39" s="15">
        <v>-7.5839999999999996E-3</v>
      </c>
      <c r="T39" s="15">
        <v>6.101E-5</v>
      </c>
      <c r="U39" s="15">
        <v>9.9659999999999994E-8</v>
      </c>
      <c r="V39" s="15">
        <v>-3.8399999999999998E-11</v>
      </c>
      <c r="W39" s="13">
        <v>0</v>
      </c>
      <c r="X39" s="18">
        <v>2182</v>
      </c>
      <c r="Y39" s="6">
        <v>20430</v>
      </c>
    </row>
    <row r="40" spans="3:25">
      <c r="C40" s="2" t="s">
        <v>101</v>
      </c>
      <c r="D40" s="16" t="s">
        <v>102</v>
      </c>
      <c r="E40" s="17">
        <f>8*12.0107+8*1.00794+0*15.9994+0*14.0067+0*32.064</f>
        <v>104.14912</v>
      </c>
      <c r="F40" s="18">
        <f>4782.98+4*50.312</f>
        <v>4984.2279999999992</v>
      </c>
      <c r="G40" s="19">
        <v>1</v>
      </c>
      <c r="H40" s="19">
        <v>1</v>
      </c>
      <c r="I40" s="20">
        <v>647</v>
      </c>
      <c r="J40" s="20">
        <v>39.9</v>
      </c>
      <c r="K40" s="21">
        <v>35.1999</v>
      </c>
      <c r="L40" s="14"/>
      <c r="M40" s="14">
        <v>0.25700000000000001</v>
      </c>
      <c r="N40" s="21">
        <v>0.1</v>
      </c>
      <c r="O40" s="14">
        <v>-28.25</v>
      </c>
      <c r="P40" s="15">
        <v>0.6159</v>
      </c>
      <c r="Q40" s="15">
        <v>-4.0230000000000002E-4</v>
      </c>
      <c r="R40" s="15">
        <v>9.935E-8</v>
      </c>
      <c r="S40" s="15">
        <v>8.7520000000000002E-4</v>
      </c>
      <c r="T40" s="15">
        <v>-1.9259999999999999E-6</v>
      </c>
      <c r="U40" s="15">
        <v>1.244E-7</v>
      </c>
      <c r="V40" s="15">
        <v>-5.0709999999999999E-11</v>
      </c>
      <c r="W40" s="13">
        <v>0</v>
      </c>
      <c r="X40" s="18">
        <v>4782.9799999999996</v>
      </c>
      <c r="Y40" s="6"/>
    </row>
    <row r="41" spans="3:25">
      <c r="C41" s="2" t="s">
        <v>103</v>
      </c>
      <c r="D41" s="16" t="s">
        <v>104</v>
      </c>
      <c r="E41" s="17">
        <f>7*12.0107+8*1.00794+0*15.9994+0*14.0067+0*32.064</f>
        <v>92.138419999999996</v>
      </c>
      <c r="F41" s="18">
        <f>4278.08+4*50.312</f>
        <v>4479.3279999999995</v>
      </c>
      <c r="G41" s="19">
        <v>1</v>
      </c>
      <c r="H41" s="19">
        <v>1</v>
      </c>
      <c r="I41" s="20">
        <v>591.79999999999995</v>
      </c>
      <c r="J41" s="20">
        <v>41</v>
      </c>
      <c r="K41" s="21">
        <v>316</v>
      </c>
      <c r="L41" s="14">
        <v>0.26300000000000001</v>
      </c>
      <c r="M41" s="14">
        <v>0.26300000000000001</v>
      </c>
      <c r="N41" s="21">
        <v>0.4</v>
      </c>
      <c r="O41" s="14">
        <v>-24.35</v>
      </c>
      <c r="P41" s="15">
        <v>0.51249999999999996</v>
      </c>
      <c r="Q41" s="15">
        <v>-2.765E-4</v>
      </c>
      <c r="R41" s="15">
        <v>4.9110000000000001E-8</v>
      </c>
      <c r="S41" s="15">
        <v>7.5960000000000003E-3</v>
      </c>
      <c r="T41" s="15">
        <v>-4.0080000000000003E-5</v>
      </c>
      <c r="U41" s="15">
        <v>2.3699999999999999E-7</v>
      </c>
      <c r="V41" s="15">
        <v>-9.3050000000000004E-11</v>
      </c>
      <c r="W41" s="13">
        <v>0</v>
      </c>
      <c r="X41" s="18">
        <v>4278.08</v>
      </c>
      <c r="Y41" s="6"/>
    </row>
    <row r="42" spans="3:25">
      <c r="D42" s="16"/>
      <c r="E42" s="16"/>
      <c r="F42" s="16"/>
      <c r="G42" s="19"/>
      <c r="H42" s="19"/>
      <c r="I42" s="19"/>
      <c r="J42" s="19"/>
      <c r="K42" s="19"/>
      <c r="L42" s="19"/>
      <c r="M42" s="19"/>
      <c r="N42" s="19"/>
    </row>
    <row r="43" spans="3:25">
      <c r="D43" s="16"/>
      <c r="E43" s="16"/>
      <c r="F43" s="16"/>
      <c r="G43" s="19"/>
      <c r="H43" s="19"/>
      <c r="I43" s="19"/>
      <c r="J43" s="19"/>
      <c r="K43" s="19"/>
      <c r="L43" s="19"/>
      <c r="M43" s="19"/>
      <c r="N43" s="19"/>
    </row>
    <row r="44" spans="3:25">
      <c r="E44" s="16"/>
      <c r="F44" s="16"/>
      <c r="G44" s="16"/>
      <c r="H44" s="19"/>
      <c r="I44" s="19"/>
      <c r="J44" s="19"/>
      <c r="K44" s="19"/>
      <c r="L44" s="19"/>
      <c r="M44" s="19"/>
      <c r="N44" s="19"/>
      <c r="O44" s="19"/>
    </row>
    <row r="45" spans="3:25">
      <c r="D45" s="16"/>
      <c r="E45" s="16"/>
      <c r="F45" s="16"/>
      <c r="G45" s="19"/>
      <c r="H45" s="19"/>
      <c r="I45" s="19"/>
      <c r="J45" s="19"/>
      <c r="K45" s="19"/>
      <c r="L45" s="19"/>
      <c r="M45" s="19"/>
      <c r="N45" s="19"/>
    </row>
    <row r="46" spans="3:25">
      <c r="D46" s="16"/>
      <c r="E46" s="16"/>
      <c r="F46" s="16"/>
      <c r="G46" s="19"/>
      <c r="H46" s="19"/>
      <c r="I46" s="19"/>
      <c r="J46" s="19"/>
      <c r="K46" s="19"/>
      <c r="L46" s="19"/>
      <c r="M46" s="19"/>
      <c r="N46" s="19"/>
    </row>
    <row r="47" spans="3:25">
      <c r="D47" s="16"/>
      <c r="E47" s="16"/>
      <c r="F47" s="16"/>
      <c r="G47" s="19"/>
      <c r="H47" s="19"/>
      <c r="I47" s="19"/>
      <c r="J47" s="19"/>
      <c r="K47" s="19"/>
      <c r="L47" s="19"/>
      <c r="M47" s="19"/>
      <c r="N47" s="19"/>
    </row>
    <row r="48" spans="3:25">
      <c r="C48" s="3" t="s">
        <v>105</v>
      </c>
      <c r="D48" s="16"/>
      <c r="E48" s="16"/>
      <c r="F48" s="16"/>
      <c r="G48" s="19"/>
      <c r="H48" s="19"/>
      <c r="I48" s="19"/>
      <c r="J48" s="19"/>
      <c r="K48" s="19"/>
      <c r="L48" s="19"/>
      <c r="M48" s="19"/>
      <c r="N48" s="19"/>
    </row>
    <row r="49" spans="3:14">
      <c r="C49" s="2" t="s">
        <v>106</v>
      </c>
      <c r="D49" s="16"/>
      <c r="E49" s="16"/>
      <c r="F49" s="16"/>
      <c r="G49" s="19"/>
      <c r="H49" s="19"/>
      <c r="I49" s="19"/>
      <c r="J49" s="19"/>
      <c r="K49" s="19"/>
      <c r="L49" s="19"/>
      <c r="M49" s="19"/>
      <c r="N49" s="19"/>
    </row>
    <row r="50" spans="3:14">
      <c r="C50" s="2" t="s">
        <v>107</v>
      </c>
      <c r="D50" s="16"/>
      <c r="E50" s="16"/>
      <c r="F50" s="16"/>
      <c r="G50" s="19"/>
      <c r="H50" s="19"/>
      <c r="I50" s="19"/>
      <c r="J50" s="19"/>
      <c r="K50" s="19"/>
      <c r="L50" s="19"/>
      <c r="M50" s="19"/>
      <c r="N50" s="19"/>
    </row>
    <row r="51" spans="3:14">
      <c r="C51" s="2" t="s">
        <v>108</v>
      </c>
      <c r="D51" s="16"/>
      <c r="E51" s="16"/>
      <c r="F51" s="16"/>
      <c r="G51" s="19"/>
      <c r="H51" s="19"/>
      <c r="I51" s="19"/>
      <c r="J51" s="19"/>
      <c r="K51" s="19"/>
      <c r="L51" s="19"/>
      <c r="M51" s="19"/>
      <c r="N51" s="19"/>
    </row>
    <row r="52" spans="3:14">
      <c r="D52" s="16"/>
      <c r="E52" s="16"/>
      <c r="F52" s="16"/>
      <c r="G52" s="19"/>
      <c r="H52" s="19"/>
      <c r="I52" s="19"/>
      <c r="J52" s="19"/>
      <c r="K52" s="19"/>
      <c r="L52" s="19"/>
      <c r="M52" s="19"/>
      <c r="N52" s="19"/>
    </row>
    <row r="53" spans="3:14">
      <c r="D53" s="16"/>
      <c r="E53" s="16"/>
      <c r="F53" s="16"/>
      <c r="G53" s="19"/>
      <c r="H53" s="19"/>
      <c r="I53" s="19"/>
      <c r="J53" s="19"/>
      <c r="K53" s="19"/>
      <c r="L53" s="19"/>
      <c r="M53" s="19"/>
      <c r="N53" s="19"/>
    </row>
    <row r="54" spans="3:14">
      <c r="D54" s="16"/>
      <c r="E54" s="16"/>
      <c r="F54" s="16"/>
      <c r="G54" s="19"/>
      <c r="H54" s="19"/>
      <c r="I54" s="19"/>
      <c r="J54" s="19"/>
      <c r="K54" s="19"/>
      <c r="L54" s="19"/>
      <c r="M54" s="19"/>
      <c r="N54" s="19"/>
    </row>
    <row r="55" spans="3:14">
      <c r="D55" s="16"/>
      <c r="E55" s="16"/>
      <c r="F55" s="16"/>
      <c r="G55" s="19"/>
      <c r="H55" s="19"/>
      <c r="I55" s="19"/>
      <c r="J55" s="19"/>
      <c r="K55" s="19"/>
      <c r="L55" s="19"/>
      <c r="M55" s="19"/>
      <c r="N55" s="19"/>
    </row>
    <row r="56" spans="3:14">
      <c r="C56" s="3" t="s">
        <v>109</v>
      </c>
      <c r="D56" s="16"/>
      <c r="E56" s="16"/>
      <c r="F56" s="16"/>
      <c r="G56" s="19"/>
      <c r="H56" s="19"/>
      <c r="I56" s="19"/>
      <c r="J56" s="19"/>
      <c r="K56" s="19"/>
      <c r="L56" s="19"/>
      <c r="M56" s="19"/>
      <c r="N56" s="19"/>
    </row>
    <row r="57" spans="3:14">
      <c r="C57" s="2" t="s">
        <v>107</v>
      </c>
      <c r="D57" s="16"/>
      <c r="E57" s="16"/>
      <c r="F57" s="16"/>
      <c r="G57" s="19"/>
      <c r="H57" s="19"/>
      <c r="I57" s="19"/>
      <c r="J57" s="19"/>
      <c r="K57" s="19"/>
      <c r="L57" s="19"/>
      <c r="M57" s="19"/>
      <c r="N57" s="19"/>
    </row>
    <row r="58" spans="3:14">
      <c r="C58" s="2" t="s">
        <v>110</v>
      </c>
      <c r="D58" s="16"/>
      <c r="E58" s="16"/>
      <c r="F58" s="16"/>
      <c r="G58" s="19"/>
      <c r="H58" s="19"/>
      <c r="I58" s="19"/>
      <c r="J58" s="19"/>
      <c r="K58" s="19"/>
      <c r="L58" s="19"/>
      <c r="M58" s="19"/>
      <c r="N58" s="19"/>
    </row>
    <row r="59" spans="3:14">
      <c r="D59" s="16"/>
      <c r="E59" s="16"/>
      <c r="F59" s="16"/>
      <c r="G59" s="19"/>
      <c r="H59" s="19"/>
      <c r="I59" s="19"/>
      <c r="J59" s="19"/>
      <c r="K59" s="19"/>
      <c r="L59" s="19"/>
      <c r="M59" s="19"/>
      <c r="N59" s="19"/>
    </row>
    <row r="60" spans="3:14">
      <c r="D60" s="16"/>
      <c r="E60" s="16"/>
      <c r="F60" s="16"/>
      <c r="G60" s="19"/>
      <c r="H60" s="19"/>
      <c r="I60" s="19"/>
      <c r="J60" s="19"/>
      <c r="K60" s="19"/>
      <c r="L60" s="19"/>
      <c r="M60" s="19"/>
      <c r="N60" s="19"/>
    </row>
    <row r="61" spans="3:14">
      <c r="D61" s="16"/>
      <c r="E61" s="16"/>
      <c r="F61" s="16"/>
      <c r="G61" s="19"/>
      <c r="H61" s="19"/>
      <c r="I61" s="19"/>
      <c r="J61" s="19"/>
      <c r="K61" s="19"/>
      <c r="L61" s="19"/>
      <c r="M61" s="19"/>
      <c r="N61" s="19"/>
    </row>
    <row r="62" spans="3:14">
      <c r="D62" s="16"/>
      <c r="E62" s="16"/>
      <c r="F62" s="16"/>
      <c r="G62" s="19"/>
      <c r="H62" s="19"/>
      <c r="I62" s="19"/>
      <c r="J62" s="19"/>
      <c r="K62" s="19"/>
      <c r="L62" s="19"/>
      <c r="M62" s="19"/>
      <c r="N62" s="19"/>
    </row>
    <row r="63" spans="3:14">
      <c r="C63" s="3" t="s">
        <v>111</v>
      </c>
      <c r="D63" s="16"/>
      <c r="E63" s="16"/>
      <c r="F63" s="16"/>
      <c r="G63" s="19"/>
      <c r="H63" s="19"/>
      <c r="I63" s="19"/>
      <c r="J63" s="19"/>
      <c r="K63" s="19"/>
      <c r="L63" s="19"/>
      <c r="M63" s="19"/>
      <c r="N63" s="19"/>
    </row>
    <row r="64" spans="3:14">
      <c r="C64" s="2" t="s">
        <v>112</v>
      </c>
      <c r="D64" s="16"/>
      <c r="E64" s="16"/>
      <c r="F64" s="16"/>
      <c r="G64" s="19"/>
      <c r="H64" s="19"/>
      <c r="I64" s="19"/>
      <c r="J64" s="19"/>
      <c r="K64" s="19"/>
      <c r="L64" s="19"/>
      <c r="M64" s="19"/>
      <c r="N64" s="19"/>
    </row>
    <row r="65" spans="3:14">
      <c r="C65" s="2" t="s">
        <v>113</v>
      </c>
      <c r="D65" s="16"/>
      <c r="E65" s="16"/>
      <c r="F65" s="16"/>
      <c r="G65" s="19"/>
      <c r="H65" s="19"/>
      <c r="I65" s="19"/>
      <c r="J65" s="19"/>
      <c r="K65" s="19"/>
      <c r="L65" s="19"/>
      <c r="M65" s="19"/>
      <c r="N65" s="19"/>
    </row>
    <row r="66" spans="3:14">
      <c r="C66" s="2" t="s">
        <v>107</v>
      </c>
      <c r="D66" s="16"/>
      <c r="E66" s="16"/>
      <c r="F66" s="16"/>
      <c r="G66" s="19"/>
      <c r="H66" s="19"/>
      <c r="I66" s="19"/>
      <c r="J66" s="19"/>
      <c r="K66" s="19"/>
      <c r="L66" s="19"/>
      <c r="M66" s="19"/>
      <c r="N66" s="19"/>
    </row>
    <row r="67" spans="3:14">
      <c r="C67" s="2" t="s">
        <v>114</v>
      </c>
      <c r="D67" s="16"/>
      <c r="E67" s="16"/>
      <c r="F67" s="16"/>
      <c r="G67" s="19"/>
      <c r="H67" s="19"/>
      <c r="I67" s="19"/>
      <c r="J67" s="19"/>
      <c r="K67" s="19"/>
      <c r="L67" s="19"/>
      <c r="M67" s="19"/>
      <c r="N67" s="19"/>
    </row>
    <row r="68" spans="3:14">
      <c r="C68" s="2" t="s">
        <v>115</v>
      </c>
      <c r="D68" s="16"/>
      <c r="E68" s="16"/>
      <c r="F68" s="16"/>
      <c r="G68" s="19"/>
      <c r="H68" s="19"/>
      <c r="I68" s="19"/>
      <c r="J68" s="19"/>
      <c r="K68" s="19"/>
      <c r="L68" s="19"/>
      <c r="M68" s="19"/>
      <c r="N68" s="19"/>
    </row>
    <row r="69" spans="3:14">
      <c r="C69" s="2" t="s">
        <v>108</v>
      </c>
      <c r="D69" s="16"/>
      <c r="E69" s="16"/>
      <c r="F69" s="16"/>
      <c r="G69" s="19"/>
      <c r="H69" s="19"/>
      <c r="I69" s="19"/>
      <c r="J69" s="19"/>
      <c r="K69" s="19"/>
      <c r="L69" s="19"/>
      <c r="M69" s="19"/>
      <c r="N69" s="19"/>
    </row>
    <row r="70" spans="3:14">
      <c r="C70" s="2" t="s">
        <v>116</v>
      </c>
      <c r="D70" s="16"/>
      <c r="E70" s="16"/>
      <c r="F70" s="16"/>
      <c r="G70" s="19"/>
      <c r="H70" s="19"/>
      <c r="I70" s="19"/>
      <c r="J70" s="19"/>
      <c r="K70" s="19"/>
      <c r="L70" s="19"/>
      <c r="M70" s="19"/>
      <c r="N70" s="19"/>
    </row>
    <row r="71" spans="3:14">
      <c r="C71" s="2" t="s">
        <v>117</v>
      </c>
      <c r="D71" s="16"/>
      <c r="E71" s="16"/>
      <c r="F71" s="16"/>
      <c r="G71" s="19"/>
      <c r="H71" s="19"/>
      <c r="I71" s="19"/>
      <c r="J71" s="19"/>
      <c r="K71" s="19"/>
      <c r="L71" s="19"/>
      <c r="M71" s="19"/>
      <c r="N71" s="19"/>
    </row>
    <row r="72" spans="3:14">
      <c r="D72" s="16"/>
      <c r="E72" s="16"/>
      <c r="F72" s="16"/>
      <c r="G72" s="19"/>
      <c r="H72" s="19"/>
      <c r="I72" s="19"/>
      <c r="J72" s="19"/>
      <c r="K72" s="19"/>
      <c r="L72" s="19"/>
      <c r="M72" s="19"/>
      <c r="N72" s="19"/>
    </row>
    <row r="73" spans="3:14">
      <c r="D73" s="16"/>
      <c r="E73" s="16"/>
      <c r="F73" s="16"/>
      <c r="G73" s="19"/>
      <c r="H73" s="19"/>
      <c r="I73" s="19"/>
      <c r="J73" s="19"/>
      <c r="K73" s="19"/>
      <c r="L73" s="19"/>
      <c r="M73" s="19"/>
      <c r="N73" s="19"/>
    </row>
    <row r="74" spans="3:14">
      <c r="D74" s="16"/>
      <c r="E74" s="16"/>
      <c r="F74" s="16"/>
      <c r="G74" s="19"/>
      <c r="H74" s="19"/>
      <c r="I74" s="19"/>
      <c r="J74" s="19"/>
      <c r="K74" s="19"/>
      <c r="L74" s="19"/>
      <c r="M74" s="19"/>
      <c r="N74" s="19"/>
    </row>
    <row r="75" spans="3:14">
      <c r="D75" s="16"/>
      <c r="E75" s="16"/>
      <c r="F75" s="16"/>
      <c r="G75" s="19"/>
      <c r="H75" s="19"/>
      <c r="I75" s="19"/>
      <c r="J75" s="19"/>
      <c r="K75" s="19"/>
      <c r="L75" s="19"/>
      <c r="M75" s="19"/>
      <c r="N75" s="19"/>
    </row>
    <row r="76" spans="3:14">
      <c r="C76" s="3" t="s">
        <v>118</v>
      </c>
      <c r="D76" s="16"/>
      <c r="E76" s="16"/>
      <c r="F76" s="16"/>
      <c r="G76" s="19"/>
      <c r="H76" s="19"/>
      <c r="I76" s="19"/>
      <c r="J76" s="19"/>
      <c r="K76" s="19"/>
      <c r="L76" s="19"/>
      <c r="M76" s="19"/>
      <c r="N76" s="19"/>
    </row>
    <row r="77" spans="3:14">
      <c r="C77" s="2" t="s">
        <v>107</v>
      </c>
      <c r="D77" s="16"/>
      <c r="E77" s="16"/>
      <c r="F77" s="16"/>
      <c r="G77" s="19"/>
      <c r="H77" s="19"/>
      <c r="I77" s="19"/>
      <c r="J77" s="19"/>
      <c r="K77" s="19"/>
      <c r="L77" s="19"/>
      <c r="M77" s="19"/>
      <c r="N77" s="19"/>
    </row>
    <row r="78" spans="3:14">
      <c r="C78" s="2" t="s">
        <v>108</v>
      </c>
      <c r="D78" s="16"/>
      <c r="E78" s="16"/>
      <c r="F78" s="16"/>
      <c r="G78" s="19"/>
      <c r="H78" s="19"/>
      <c r="I78" s="19"/>
      <c r="J78" s="19"/>
      <c r="K78" s="19"/>
      <c r="L78" s="19"/>
      <c r="M78" s="19"/>
      <c r="N78" s="19"/>
    </row>
    <row r="79" spans="3:14">
      <c r="D79" s="16"/>
      <c r="E79" s="16"/>
      <c r="F79" s="16"/>
      <c r="G79" s="19"/>
      <c r="H79" s="19"/>
      <c r="I79" s="19"/>
      <c r="J79" s="19"/>
      <c r="K79" s="19"/>
      <c r="L79" s="19"/>
      <c r="M79" s="19"/>
      <c r="N79" s="19"/>
    </row>
    <row r="80" spans="3:14">
      <c r="D80" s="16"/>
      <c r="E80" s="16"/>
      <c r="F80" s="16"/>
      <c r="G80" s="19"/>
      <c r="H80" s="19"/>
      <c r="I80" s="19"/>
      <c r="J80" s="19"/>
      <c r="K80" s="19"/>
      <c r="L80" s="19"/>
      <c r="M80" s="19"/>
      <c r="N80" s="19"/>
    </row>
    <row r="81" spans="3:14">
      <c r="C81" s="2" t="s">
        <v>119</v>
      </c>
      <c r="D81" s="16"/>
      <c r="E81" s="16"/>
      <c r="F81" s="16"/>
      <c r="G81" s="19"/>
      <c r="H81" s="19"/>
      <c r="I81" s="19"/>
      <c r="J81" s="19"/>
      <c r="K81" s="19"/>
      <c r="L81" s="19"/>
      <c r="M81" s="19"/>
      <c r="N81" s="19"/>
    </row>
    <row r="82" spans="3:14">
      <c r="C82" s="2" t="s">
        <v>120</v>
      </c>
      <c r="D82" s="16"/>
      <c r="E82" s="16"/>
      <c r="F82" s="16"/>
      <c r="G82" s="19"/>
      <c r="H82" s="19"/>
      <c r="I82" s="19"/>
      <c r="J82" s="19"/>
      <c r="K82" s="19"/>
      <c r="L82" s="19"/>
      <c r="M82" s="19"/>
      <c r="N82" s="19"/>
    </row>
    <row r="83" spans="3:14">
      <c r="C83" s="2" t="s">
        <v>121</v>
      </c>
      <c r="D83" s="16"/>
      <c r="E83" s="16"/>
      <c r="F83" s="16"/>
      <c r="G83" s="19"/>
      <c r="H83" s="19"/>
      <c r="I83" s="19"/>
      <c r="J83" s="19"/>
      <c r="K83" s="19"/>
      <c r="L83" s="19"/>
      <c r="M83" s="19"/>
      <c r="N83" s="19"/>
    </row>
    <row r="84" spans="3:14">
      <c r="D84" s="16"/>
      <c r="E84" s="16"/>
      <c r="F84" s="16"/>
      <c r="G84" s="19"/>
      <c r="H84" s="19"/>
      <c r="I84" s="19"/>
      <c r="J84" s="19"/>
      <c r="K84" s="19"/>
      <c r="L84" s="19"/>
      <c r="M84" s="19"/>
      <c r="N84" s="19"/>
    </row>
    <row r="85" spans="3:14">
      <c r="D85" s="16"/>
      <c r="E85" s="16"/>
      <c r="F85" s="16"/>
      <c r="G85" s="19"/>
      <c r="H85" s="19"/>
      <c r="I85" s="19"/>
      <c r="J85" s="19"/>
      <c r="K85" s="19"/>
      <c r="L85" s="19"/>
      <c r="M85" s="19"/>
      <c r="N85" s="19"/>
    </row>
    <row r="86" spans="3:14">
      <c r="D86" s="16"/>
      <c r="E86" s="16"/>
      <c r="F86" s="16"/>
      <c r="G86" s="19"/>
      <c r="H86" s="19"/>
      <c r="I86" s="19"/>
      <c r="J86" s="19"/>
      <c r="K86" s="19"/>
      <c r="L86" s="19"/>
      <c r="M86" s="19"/>
      <c r="N86" s="19"/>
    </row>
    <row r="87" spans="3:14">
      <c r="D87" s="16"/>
      <c r="E87" s="16"/>
      <c r="F87" s="16"/>
      <c r="G87" s="19"/>
      <c r="H87" s="19"/>
      <c r="I87" s="19"/>
      <c r="J87" s="19"/>
      <c r="K87" s="19"/>
      <c r="L87" s="19"/>
      <c r="M87" s="19"/>
      <c r="N87" s="19"/>
    </row>
    <row r="88" spans="3:14">
      <c r="C88" s="3" t="s">
        <v>122</v>
      </c>
      <c r="D88" s="16"/>
      <c r="E88" s="16"/>
      <c r="F88" s="16"/>
      <c r="G88" s="19"/>
      <c r="H88" s="19"/>
      <c r="I88" s="19"/>
      <c r="J88" s="19"/>
      <c r="K88" s="19"/>
      <c r="L88" s="19"/>
      <c r="M88" s="19"/>
      <c r="N88" s="19"/>
    </row>
    <row r="89" spans="3:14">
      <c r="C89" s="2" t="s">
        <v>107</v>
      </c>
      <c r="D89" s="16"/>
      <c r="E89" s="16"/>
      <c r="F89" s="16"/>
      <c r="G89" s="19"/>
      <c r="H89" s="19"/>
      <c r="I89" s="19"/>
      <c r="J89" s="19"/>
      <c r="K89" s="19"/>
      <c r="L89" s="19"/>
      <c r="M89" s="19"/>
      <c r="N89" s="19"/>
    </row>
    <row r="90" spans="3:14">
      <c r="C90" s="2" t="s">
        <v>110</v>
      </c>
      <c r="D90" s="16"/>
      <c r="E90" s="16"/>
      <c r="F90" s="16"/>
      <c r="G90" s="19"/>
      <c r="H90" s="19"/>
      <c r="I90" s="19"/>
      <c r="J90" s="19"/>
      <c r="K90" s="19"/>
      <c r="L90" s="19"/>
      <c r="M90" s="19"/>
      <c r="N90" s="19"/>
    </row>
    <row r="91" spans="3:14">
      <c r="D91" s="16"/>
      <c r="E91" s="16"/>
      <c r="F91" s="16"/>
      <c r="G91" s="19"/>
      <c r="H91" s="19"/>
      <c r="I91" s="19"/>
      <c r="J91" s="19"/>
      <c r="K91" s="19"/>
      <c r="L91" s="19"/>
      <c r="M91" s="19"/>
      <c r="N91" s="19"/>
    </row>
    <row r="92" spans="3:14">
      <c r="D92" s="16"/>
      <c r="E92" s="16"/>
      <c r="F92" s="16"/>
      <c r="G92" s="19"/>
      <c r="H92" s="19"/>
      <c r="I92" s="19"/>
      <c r="J92" s="19"/>
      <c r="K92" s="19"/>
      <c r="L92" s="19"/>
      <c r="M92" s="19"/>
      <c r="N92" s="19"/>
    </row>
    <row r="93" spans="3:14">
      <c r="D93" s="16"/>
      <c r="E93" s="16"/>
      <c r="F93" s="16"/>
      <c r="G93" s="19"/>
      <c r="H93" s="19"/>
      <c r="I93" s="19"/>
      <c r="J93" s="19"/>
      <c r="K93" s="19"/>
      <c r="L93" s="19"/>
      <c r="M93" s="19"/>
      <c r="N93" s="19"/>
    </row>
    <row r="95" spans="3:14">
      <c r="C95" s="3" t="s">
        <v>123</v>
      </c>
      <c r="D95" s="16"/>
      <c r="E95" s="16"/>
      <c r="F95" s="16"/>
      <c r="G95" s="19"/>
      <c r="H95" s="19"/>
      <c r="I95" s="19"/>
      <c r="J95" s="19"/>
      <c r="K95" s="19"/>
      <c r="L95" s="19"/>
      <c r="M95" s="19"/>
      <c r="N95" s="19"/>
    </row>
    <row r="96" spans="3:14">
      <c r="C96" s="23" t="s">
        <v>124</v>
      </c>
      <c r="D96" s="16"/>
      <c r="E96" s="16"/>
      <c r="F96" s="16"/>
      <c r="G96" s="19"/>
      <c r="H96" s="19"/>
      <c r="I96" s="19"/>
      <c r="J96" s="19"/>
      <c r="K96" s="19"/>
      <c r="L96" s="19"/>
      <c r="M96" s="19"/>
      <c r="N96" s="19"/>
    </row>
    <row r="97" spans="3:14">
      <c r="C97" s="2" t="s">
        <v>125</v>
      </c>
      <c r="D97" s="16"/>
      <c r="E97" s="16"/>
      <c r="F97" s="16"/>
      <c r="G97" s="19"/>
      <c r="H97" s="19"/>
      <c r="I97" s="19"/>
      <c r="J97" s="19"/>
      <c r="K97" s="19"/>
      <c r="L97" s="19"/>
      <c r="M97" s="19"/>
      <c r="N97" s="19"/>
    </row>
    <row r="98" spans="3:14">
      <c r="C98" s="2" t="s">
        <v>126</v>
      </c>
      <c r="D98" s="16"/>
      <c r="E98" s="16"/>
      <c r="F98" s="16"/>
      <c r="G98" s="19"/>
      <c r="H98" s="19"/>
      <c r="I98" s="19"/>
      <c r="J98" s="19"/>
      <c r="K98" s="19"/>
      <c r="L98" s="19"/>
      <c r="M98" s="19"/>
      <c r="N98" s="19"/>
    </row>
    <row r="99" spans="3:14">
      <c r="C99" s="2" t="s">
        <v>127</v>
      </c>
      <c r="D99" s="16"/>
      <c r="E99" s="16"/>
      <c r="F99" s="16"/>
      <c r="G99" s="19"/>
      <c r="H99" s="19"/>
      <c r="I99" s="19"/>
      <c r="J99" s="19"/>
      <c r="K99" s="19"/>
      <c r="L99" s="19"/>
      <c r="M99" s="19"/>
      <c r="N99" s="19"/>
    </row>
    <row r="100" spans="3:14">
      <c r="C100" s="2" t="s">
        <v>128</v>
      </c>
      <c r="D100" s="16"/>
      <c r="E100" s="16"/>
      <c r="F100" s="16"/>
      <c r="G100" s="19"/>
      <c r="H100" s="19"/>
      <c r="I100" s="19"/>
      <c r="J100" s="19"/>
      <c r="K100" s="19"/>
      <c r="L100" s="19"/>
      <c r="M100" s="19"/>
      <c r="N100" s="19"/>
    </row>
    <row r="101" spans="3:14">
      <c r="D101" s="16"/>
      <c r="E101" s="16"/>
      <c r="F101" s="16"/>
      <c r="G101" s="19"/>
      <c r="H101" s="19"/>
      <c r="I101" s="19"/>
      <c r="J101" s="19"/>
      <c r="K101" s="19"/>
      <c r="L101" s="19"/>
      <c r="M101" s="19"/>
      <c r="N101" s="19"/>
    </row>
    <row r="102" spans="3:14">
      <c r="D102" s="16"/>
      <c r="E102" s="16"/>
      <c r="F102" s="16"/>
      <c r="G102" s="19"/>
      <c r="H102" s="19"/>
      <c r="I102" s="19"/>
      <c r="J102" s="19"/>
      <c r="K102" s="19"/>
      <c r="L102" s="19"/>
      <c r="M102" s="19"/>
      <c r="N102" s="19"/>
    </row>
    <row r="103" spans="3:14">
      <c r="D103" s="16"/>
      <c r="E103" s="16"/>
      <c r="F103" s="16"/>
      <c r="G103" s="19"/>
      <c r="H103" s="19"/>
      <c r="I103" s="19"/>
      <c r="J103" s="19"/>
      <c r="K103" s="19"/>
      <c r="L103" s="19"/>
      <c r="M103" s="19"/>
      <c r="N103" s="19"/>
    </row>
    <row r="104" spans="3:14">
      <c r="D104" s="16"/>
      <c r="E104" s="16"/>
      <c r="F104" s="16"/>
      <c r="G104" s="19"/>
      <c r="H104" s="19"/>
      <c r="I104" s="19"/>
      <c r="J104" s="19"/>
      <c r="K104" s="19"/>
      <c r="L104" s="19"/>
      <c r="M104" s="19"/>
      <c r="N104" s="19"/>
    </row>
    <row r="105" spans="3:14">
      <c r="C105" s="3" t="s">
        <v>129</v>
      </c>
      <c r="D105" s="16"/>
      <c r="E105" s="16"/>
      <c r="F105" s="16"/>
      <c r="G105" s="19"/>
      <c r="H105" s="19"/>
      <c r="I105" s="19"/>
      <c r="J105" s="19"/>
      <c r="K105" s="19"/>
      <c r="L105" s="19"/>
      <c r="M105" s="19"/>
      <c r="N105" s="19"/>
    </row>
    <row r="106" spans="3:14">
      <c r="C106" s="23" t="s">
        <v>124</v>
      </c>
      <c r="D106" s="16"/>
      <c r="E106" s="16"/>
      <c r="F106" s="16"/>
      <c r="G106" s="19"/>
      <c r="H106" s="19"/>
      <c r="I106" s="19"/>
      <c r="J106" s="19"/>
      <c r="K106" s="19"/>
      <c r="L106" s="19"/>
      <c r="M106" s="19"/>
      <c r="N106" s="19"/>
    </row>
    <row r="107" spans="3:14">
      <c r="C107" s="2" t="s">
        <v>125</v>
      </c>
      <c r="D107" s="16"/>
      <c r="E107" s="16"/>
      <c r="F107" s="16"/>
      <c r="G107" s="19"/>
      <c r="H107" s="19"/>
      <c r="I107" s="19"/>
      <c r="J107" s="19"/>
      <c r="K107" s="19"/>
      <c r="L107" s="19"/>
      <c r="M107" s="19"/>
      <c r="N107" s="19"/>
    </row>
    <row r="108" spans="3:14">
      <c r="C108" s="2" t="s">
        <v>126</v>
      </c>
      <c r="D108" s="16"/>
      <c r="E108" s="16"/>
      <c r="F108" s="16"/>
      <c r="G108" s="19"/>
      <c r="H108" s="19"/>
      <c r="I108" s="19"/>
      <c r="J108" s="19"/>
      <c r="K108" s="19"/>
      <c r="L108" s="19"/>
      <c r="M108" s="19"/>
      <c r="N108" s="19"/>
    </row>
    <row r="109" spans="3:14">
      <c r="C109" s="2" t="s">
        <v>127</v>
      </c>
      <c r="D109" s="16"/>
      <c r="E109" s="16"/>
      <c r="F109" s="16"/>
      <c r="G109" s="19"/>
      <c r="H109" s="19"/>
      <c r="I109" s="19"/>
      <c r="J109" s="19"/>
      <c r="K109" s="19"/>
      <c r="L109" s="19"/>
      <c r="M109" s="19"/>
      <c r="N109" s="19"/>
    </row>
    <row r="110" spans="3:14">
      <c r="C110" s="2" t="s">
        <v>128</v>
      </c>
      <c r="D110" s="16"/>
      <c r="E110" s="16"/>
      <c r="F110" s="16"/>
      <c r="G110" s="19"/>
      <c r="H110" s="19"/>
      <c r="I110" s="19"/>
      <c r="J110" s="19"/>
      <c r="K110" s="19"/>
      <c r="L110" s="19"/>
      <c r="M110" s="19"/>
      <c r="N110" s="19"/>
    </row>
    <row r="111" spans="3:14">
      <c r="C111" s="2" t="s">
        <v>130</v>
      </c>
      <c r="D111" s="16"/>
      <c r="E111" s="16"/>
      <c r="F111" s="16"/>
      <c r="G111" s="19"/>
      <c r="H111" s="19"/>
      <c r="I111" s="19"/>
      <c r="J111" s="19"/>
      <c r="K111" s="19"/>
      <c r="L111" s="19"/>
      <c r="M111" s="19"/>
      <c r="N111" s="19"/>
    </row>
    <row r="112" spans="3:14">
      <c r="D112" s="16"/>
      <c r="E112" s="16"/>
      <c r="F112" s="16"/>
      <c r="G112" s="19"/>
      <c r="H112" s="19"/>
      <c r="I112" s="19"/>
      <c r="J112" s="19"/>
      <c r="K112" s="19"/>
      <c r="L112" s="19"/>
      <c r="M112" s="19"/>
      <c r="N112" s="19"/>
    </row>
    <row r="113" spans="3:14">
      <c r="D113" s="16"/>
      <c r="E113" s="16"/>
      <c r="F113" s="16"/>
      <c r="G113" s="19"/>
      <c r="H113" s="19"/>
      <c r="I113" s="19"/>
      <c r="J113" s="19"/>
      <c r="K113" s="19"/>
      <c r="L113" s="19"/>
      <c r="M113" s="19"/>
      <c r="N113" s="19"/>
    </row>
    <row r="114" spans="3:14">
      <c r="D114" s="16"/>
      <c r="E114" s="16"/>
      <c r="F114" s="16"/>
      <c r="G114" s="19"/>
      <c r="H114" s="19"/>
      <c r="I114" s="19"/>
      <c r="J114" s="19"/>
      <c r="K114" s="19"/>
      <c r="L114" s="19"/>
      <c r="M114" s="19"/>
      <c r="N114" s="19"/>
    </row>
    <row r="115" spans="3:14">
      <c r="D115" s="16"/>
      <c r="E115" s="16"/>
      <c r="F115" s="16"/>
      <c r="G115" s="19"/>
      <c r="H115" s="19"/>
      <c r="I115" s="19"/>
      <c r="J115" s="19"/>
      <c r="K115" s="19"/>
      <c r="L115" s="19"/>
      <c r="M115" s="19"/>
      <c r="N115" s="19"/>
    </row>
    <row r="116" spans="3:14">
      <c r="C116" s="3" t="s">
        <v>131</v>
      </c>
    </row>
    <row r="117" spans="3:14">
      <c r="C117" s="2" t="s">
        <v>132</v>
      </c>
    </row>
    <row r="118" spans="3:14">
      <c r="C118" s="2" t="s">
        <v>133</v>
      </c>
    </row>
    <row r="119" spans="3:14">
      <c r="C119" s="2" t="s">
        <v>134</v>
      </c>
    </row>
    <row r="120" spans="3:14">
      <c r="C120" s="2" t="s">
        <v>135</v>
      </c>
    </row>
    <row r="121" spans="3:14">
      <c r="C121" s="2" t="s">
        <v>136</v>
      </c>
    </row>
    <row r="122" spans="3:14">
      <c r="C122" s="2" t="s">
        <v>137</v>
      </c>
    </row>
    <row r="127" spans="3:14">
      <c r="C127" s="3" t="s">
        <v>138</v>
      </c>
    </row>
    <row r="128" spans="3:14">
      <c r="C128" s="2" t="s">
        <v>132</v>
      </c>
    </row>
    <row r="129" spans="3:3">
      <c r="C129" s="2" t="s">
        <v>134</v>
      </c>
    </row>
    <row r="134" spans="3:3">
      <c r="C134" s="3" t="s">
        <v>139</v>
      </c>
    </row>
    <row r="135" spans="3:3">
      <c r="C135" s="2" t="s">
        <v>140</v>
      </c>
    </row>
    <row r="136" spans="3:3">
      <c r="C136" s="2" t="s">
        <v>141</v>
      </c>
    </row>
    <row r="141" spans="3:3">
      <c r="C141" s="3" t="s">
        <v>142</v>
      </c>
    </row>
    <row r="142" spans="3:3">
      <c r="C142" s="2" t="s">
        <v>143</v>
      </c>
    </row>
    <row r="143" spans="3:3">
      <c r="C143" s="2" t="s">
        <v>144</v>
      </c>
    </row>
    <row r="147" spans="2:5">
      <c r="B147" s="5" t="s">
        <v>145</v>
      </c>
    </row>
    <row r="149" spans="2:5">
      <c r="C149" s="3" t="s">
        <v>146</v>
      </c>
      <c r="D149" s="478" t="s">
        <v>147</v>
      </c>
      <c r="E149" s="478"/>
    </row>
    <row r="150" spans="2:5" outlineLevel="1">
      <c r="C150" s="2" t="s">
        <v>148</v>
      </c>
      <c r="D150" s="9" t="s">
        <v>149</v>
      </c>
      <c r="E150" s="2" t="s">
        <v>150</v>
      </c>
    </row>
    <row r="151" spans="2:5" outlineLevel="1">
      <c r="C151" s="2" t="s">
        <v>151</v>
      </c>
      <c r="D151" s="9" t="s">
        <v>152</v>
      </c>
      <c r="E151" s="2" t="s">
        <v>153</v>
      </c>
    </row>
    <row r="152" spans="2:5" outlineLevel="1">
      <c r="C152" s="2" t="s">
        <v>154</v>
      </c>
      <c r="D152" s="9" t="s">
        <v>155</v>
      </c>
      <c r="E152" s="2" t="s">
        <v>156</v>
      </c>
    </row>
    <row r="153" spans="2:5" outlineLevel="1">
      <c r="C153" s="2" t="s">
        <v>157</v>
      </c>
      <c r="D153" s="9" t="s">
        <v>158</v>
      </c>
      <c r="E153" s="2" t="s">
        <v>159</v>
      </c>
    </row>
    <row r="154" spans="2:5" outlineLevel="1">
      <c r="C154" s="2" t="s">
        <v>160</v>
      </c>
      <c r="D154" s="9" t="s">
        <v>161</v>
      </c>
      <c r="E154" s="2" t="s">
        <v>162</v>
      </c>
    </row>
    <row r="155" spans="2:5" outlineLevel="1">
      <c r="C155" s="2" t="s">
        <v>163</v>
      </c>
      <c r="D155" s="9" t="s">
        <v>164</v>
      </c>
      <c r="E155" s="2" t="s">
        <v>165</v>
      </c>
    </row>
    <row r="156" spans="2:5" outlineLevel="1">
      <c r="C156" s="2" t="s">
        <v>166</v>
      </c>
      <c r="D156" s="9" t="s">
        <v>167</v>
      </c>
      <c r="E156" s="2" t="s">
        <v>168</v>
      </c>
    </row>
    <row r="157" spans="2:5" outlineLevel="1">
      <c r="C157" s="2" t="s">
        <v>169</v>
      </c>
      <c r="D157" s="9" t="s">
        <v>170</v>
      </c>
      <c r="E157" s="2" t="s">
        <v>171</v>
      </c>
    </row>
    <row r="158" spans="2:5" outlineLevel="1">
      <c r="C158" s="2" t="s">
        <v>172</v>
      </c>
      <c r="D158" s="9" t="s">
        <v>173</v>
      </c>
      <c r="E158" s="2" t="s">
        <v>174</v>
      </c>
    </row>
    <row r="159" spans="2:5" outlineLevel="1">
      <c r="C159" s="2" t="s">
        <v>175</v>
      </c>
      <c r="D159" s="9" t="s">
        <v>176</v>
      </c>
      <c r="E159" s="2" t="s">
        <v>177</v>
      </c>
    </row>
    <row r="160" spans="2:5" outlineLevel="1">
      <c r="C160" s="2" t="s">
        <v>178</v>
      </c>
      <c r="D160" s="9" t="s">
        <v>179</v>
      </c>
      <c r="E160" s="2" t="s">
        <v>180</v>
      </c>
    </row>
    <row r="161" spans="3:33" outlineLevel="1">
      <c r="C161" s="2" t="s">
        <v>590</v>
      </c>
      <c r="D161" s="9" t="s">
        <v>181</v>
      </c>
      <c r="E161" s="2" t="s">
        <v>182</v>
      </c>
    </row>
    <row r="162" spans="3:33" outlineLevel="1">
      <c r="C162" s="2" t="s">
        <v>596</v>
      </c>
      <c r="D162" s="9" t="s">
        <v>183</v>
      </c>
      <c r="E162" s="2" t="s">
        <v>184</v>
      </c>
    </row>
    <row r="163" spans="3:33" outlineLevel="1">
      <c r="D163" s="9" t="s">
        <v>185</v>
      </c>
      <c r="E163" s="2" t="s">
        <v>186</v>
      </c>
    </row>
    <row r="164" spans="3:33" outlineLevel="1">
      <c r="D164" s="9" t="s">
        <v>187</v>
      </c>
      <c r="E164" s="2" t="s">
        <v>188</v>
      </c>
    </row>
    <row r="165" spans="3:33" outlineLevel="1">
      <c r="D165" s="9"/>
    </row>
    <row r="166" spans="3:33">
      <c r="D166" s="9"/>
    </row>
    <row r="167" spans="3:33">
      <c r="C167" s="3" t="s">
        <v>189</v>
      </c>
    </row>
    <row r="168" spans="3:33">
      <c r="D168" s="24" t="s">
        <v>147</v>
      </c>
    </row>
    <row r="169" spans="3:33">
      <c r="D169" s="476">
        <v>1</v>
      </c>
      <c r="E169" s="477"/>
      <c r="F169" s="476">
        <v>2</v>
      </c>
      <c r="G169" s="477"/>
      <c r="H169" s="476">
        <v>3</v>
      </c>
      <c r="I169" s="477"/>
      <c r="J169" s="476">
        <v>4</v>
      </c>
      <c r="K169" s="477"/>
      <c r="L169" s="476">
        <v>5</v>
      </c>
      <c r="M169" s="477"/>
      <c r="N169" s="476">
        <v>6</v>
      </c>
      <c r="O169" s="477"/>
      <c r="P169" s="476">
        <v>7</v>
      </c>
      <c r="Q169" s="477"/>
      <c r="R169" s="476">
        <v>8</v>
      </c>
      <c r="S169" s="477"/>
      <c r="T169" s="476">
        <v>9</v>
      </c>
      <c r="U169" s="477"/>
      <c r="V169" s="476">
        <v>10</v>
      </c>
      <c r="W169" s="477"/>
      <c r="X169" s="476">
        <v>11</v>
      </c>
      <c r="Y169" s="477"/>
      <c r="Z169" s="476">
        <v>12</v>
      </c>
      <c r="AA169" s="477"/>
      <c r="AB169" s="476">
        <v>13</v>
      </c>
      <c r="AC169" s="477"/>
      <c r="AD169" s="476">
        <v>14</v>
      </c>
      <c r="AE169" s="477"/>
      <c r="AF169" s="476">
        <v>15</v>
      </c>
      <c r="AG169" s="477"/>
    </row>
    <row r="170" spans="3:33">
      <c r="C170" s="25"/>
      <c r="D170" s="26" t="s">
        <v>149</v>
      </c>
      <c r="E170" s="27" t="s">
        <v>150</v>
      </c>
      <c r="F170" s="26" t="s">
        <v>152</v>
      </c>
      <c r="G170" s="27" t="s">
        <v>153</v>
      </c>
      <c r="H170" s="26" t="s">
        <v>155</v>
      </c>
      <c r="I170" s="27" t="s">
        <v>156</v>
      </c>
      <c r="J170" s="26" t="s">
        <v>158</v>
      </c>
      <c r="K170" s="27" t="s">
        <v>159</v>
      </c>
      <c r="L170" s="26" t="s">
        <v>161</v>
      </c>
      <c r="M170" s="27" t="s">
        <v>162</v>
      </c>
      <c r="N170" s="26" t="s">
        <v>164</v>
      </c>
      <c r="O170" s="27" t="s">
        <v>165</v>
      </c>
      <c r="P170" s="26" t="s">
        <v>167</v>
      </c>
      <c r="Q170" s="27" t="s">
        <v>168</v>
      </c>
      <c r="R170" s="26" t="s">
        <v>170</v>
      </c>
      <c r="S170" s="27" t="s">
        <v>171</v>
      </c>
      <c r="T170" s="26" t="s">
        <v>173</v>
      </c>
      <c r="U170" s="27" t="s">
        <v>174</v>
      </c>
      <c r="V170" s="26" t="s">
        <v>176</v>
      </c>
      <c r="W170" s="27" t="s">
        <v>177</v>
      </c>
      <c r="X170" s="26" t="s">
        <v>179</v>
      </c>
      <c r="Y170" s="27" t="s">
        <v>180</v>
      </c>
      <c r="Z170" s="26" t="s">
        <v>181</v>
      </c>
      <c r="AA170" s="27" t="s">
        <v>182</v>
      </c>
      <c r="AB170" s="26" t="s">
        <v>183</v>
      </c>
      <c r="AC170" s="27" t="s">
        <v>184</v>
      </c>
      <c r="AD170" s="26" t="s">
        <v>185</v>
      </c>
      <c r="AE170" s="27" t="s">
        <v>186</v>
      </c>
      <c r="AF170" s="26" t="s">
        <v>187</v>
      </c>
      <c r="AG170" s="27" t="s">
        <v>188</v>
      </c>
    </row>
    <row r="171" spans="3:33" ht="24.95" customHeight="1" outlineLevel="1">
      <c r="C171" s="28" t="s">
        <v>190</v>
      </c>
      <c r="D171" s="29" t="s">
        <v>191</v>
      </c>
      <c r="E171" s="30">
        <f>2/10000</f>
        <v>2.0000000000000001E-4</v>
      </c>
      <c r="F171" s="29" t="s">
        <v>191</v>
      </c>
      <c r="G171" s="30">
        <f>1/10000</f>
        <v>1E-4</v>
      </c>
      <c r="H171" s="29" t="s">
        <v>191</v>
      </c>
      <c r="I171" s="30">
        <f>2/10000</f>
        <v>2.0000000000000001E-4</v>
      </c>
      <c r="J171" s="29" t="s">
        <v>191</v>
      </c>
      <c r="K171" s="30">
        <f>1/10000</f>
        <v>1E-4</v>
      </c>
      <c r="L171" s="29" t="s">
        <v>191</v>
      </c>
      <c r="M171" s="30">
        <f>2/10000</f>
        <v>2.0000000000000001E-4</v>
      </c>
      <c r="N171" s="29" t="s">
        <v>191</v>
      </c>
      <c r="O171" s="30">
        <f>4/10000</f>
        <v>4.0000000000000002E-4</v>
      </c>
      <c r="P171" s="29" t="s">
        <v>191</v>
      </c>
      <c r="Q171" s="30">
        <f>0.2/10000</f>
        <v>2.0000000000000002E-5</v>
      </c>
      <c r="R171" s="29" t="s">
        <v>191</v>
      </c>
      <c r="S171" s="30">
        <f>0.5/10000</f>
        <v>5.0000000000000002E-5</v>
      </c>
      <c r="T171" s="29" t="s">
        <v>191</v>
      </c>
      <c r="U171" s="30">
        <f>1/10000</f>
        <v>1E-4</v>
      </c>
      <c r="V171" s="29" t="s">
        <v>191</v>
      </c>
      <c r="W171" s="30">
        <f>0.2/10000</f>
        <v>2.0000000000000002E-5</v>
      </c>
      <c r="X171" s="29" t="s">
        <v>191</v>
      </c>
      <c r="Y171" s="30">
        <f>1/10000</f>
        <v>1E-4</v>
      </c>
      <c r="Z171" s="29" t="s">
        <v>191</v>
      </c>
      <c r="AA171" s="30">
        <f>4/10000</f>
        <v>4.0000000000000002E-4</v>
      </c>
      <c r="AB171" s="29" t="s">
        <v>191</v>
      </c>
      <c r="AC171" s="30">
        <f>2/10000</f>
        <v>2.0000000000000001E-4</v>
      </c>
      <c r="AD171" s="29" t="s">
        <v>191</v>
      </c>
      <c r="AE171" s="12"/>
      <c r="AF171" s="29" t="s">
        <v>191</v>
      </c>
      <c r="AG171" s="12"/>
    </row>
    <row r="172" spans="3:33" ht="24.95" customHeight="1" outlineLevel="1">
      <c r="C172" s="31" t="s">
        <v>192</v>
      </c>
      <c r="D172" s="29" t="s">
        <v>51</v>
      </c>
      <c r="E172" s="30">
        <f>1/10000</f>
        <v>1E-4</v>
      </c>
      <c r="F172" s="29" t="s">
        <v>51</v>
      </c>
      <c r="G172" s="30">
        <f>1/10000</f>
        <v>1E-4</v>
      </c>
      <c r="H172" s="29" t="s">
        <v>53</v>
      </c>
      <c r="I172" s="30">
        <f>0.2/10000</f>
        <v>2.0000000000000002E-5</v>
      </c>
      <c r="J172" s="29" t="s">
        <v>51</v>
      </c>
      <c r="K172" s="30">
        <f>3/10000</f>
        <v>2.9999999999999997E-4</v>
      </c>
      <c r="L172" s="29" t="s">
        <v>51</v>
      </c>
      <c r="M172" s="30">
        <f>4/10000</f>
        <v>4.0000000000000002E-4</v>
      </c>
      <c r="N172" s="29" t="s">
        <v>43</v>
      </c>
      <c r="O172" s="30">
        <f>0.5/10000</f>
        <v>5.0000000000000002E-5</v>
      </c>
      <c r="P172" s="29" t="s">
        <v>51</v>
      </c>
      <c r="Q172" s="30">
        <f>0.1/10000</f>
        <v>1.0000000000000001E-5</v>
      </c>
      <c r="R172" s="29" t="s">
        <v>51</v>
      </c>
      <c r="S172" s="30">
        <f>0.1/10000</f>
        <v>1.0000000000000001E-5</v>
      </c>
      <c r="T172" s="29" t="s">
        <v>51</v>
      </c>
      <c r="U172" s="30">
        <f>2/10000</f>
        <v>2.0000000000000001E-4</v>
      </c>
      <c r="V172" s="29" t="s">
        <v>51</v>
      </c>
      <c r="W172" s="30">
        <f>0.1/10000</f>
        <v>1.0000000000000001E-5</v>
      </c>
      <c r="X172" s="2" t="s">
        <v>47</v>
      </c>
      <c r="Y172" s="30">
        <f>5/10000</f>
        <v>5.0000000000000001E-4</v>
      </c>
      <c r="Z172" s="2" t="s">
        <v>47</v>
      </c>
      <c r="AA172" s="30">
        <f>11/10000</f>
        <v>1.1000000000000001E-3</v>
      </c>
      <c r="AB172" s="2" t="s">
        <v>43</v>
      </c>
      <c r="AC172" s="30">
        <f>1/10000</f>
        <v>1E-4</v>
      </c>
      <c r="AD172" s="29"/>
      <c r="AE172" s="12"/>
      <c r="AF172" s="29"/>
      <c r="AG172" s="12"/>
    </row>
    <row r="173" spans="3:33" ht="24.95" customHeight="1" outlineLevel="1">
      <c r="C173" s="31" t="s">
        <v>193</v>
      </c>
      <c r="D173" s="29" t="s">
        <v>53</v>
      </c>
      <c r="E173" s="30">
        <f>0.1/10000</f>
        <v>1.0000000000000001E-5</v>
      </c>
      <c r="F173" s="29" t="s">
        <v>53</v>
      </c>
      <c r="G173" s="30">
        <f>0.1/10000</f>
        <v>1.0000000000000001E-5</v>
      </c>
      <c r="H173" s="29" t="s">
        <v>77</v>
      </c>
      <c r="I173" s="30">
        <f>1/10000</f>
        <v>1E-4</v>
      </c>
      <c r="J173" s="29" t="s">
        <v>77</v>
      </c>
      <c r="K173" s="30">
        <f>1/10000</f>
        <v>1E-4</v>
      </c>
      <c r="L173" s="29" t="s">
        <v>53</v>
      </c>
      <c r="M173" s="30">
        <f>0.5/10000</f>
        <v>5.0000000000000002E-5</v>
      </c>
      <c r="N173" s="29" t="s">
        <v>90</v>
      </c>
      <c r="O173" s="30">
        <f>0.5/10000</f>
        <v>5.0000000000000002E-5</v>
      </c>
      <c r="P173" s="29" t="s">
        <v>53</v>
      </c>
      <c r="Q173" s="30">
        <f>0.1/10000</f>
        <v>1.0000000000000001E-5</v>
      </c>
      <c r="R173" s="29" t="s">
        <v>53</v>
      </c>
      <c r="S173" s="30">
        <f>0.1/10000</f>
        <v>1.0000000000000001E-5</v>
      </c>
      <c r="T173" s="29" t="s">
        <v>53</v>
      </c>
      <c r="U173" s="30">
        <f>1/10000</f>
        <v>1E-4</v>
      </c>
      <c r="V173" s="29" t="s">
        <v>53</v>
      </c>
      <c r="W173" s="30">
        <f>0.1/10000</f>
        <v>1.0000000000000001E-5</v>
      </c>
      <c r="X173" s="29" t="s">
        <v>51</v>
      </c>
      <c r="Y173" s="30">
        <f>0.1/10000</f>
        <v>1.0000000000000001E-5</v>
      </c>
      <c r="Z173" s="29" t="s">
        <v>51</v>
      </c>
      <c r="AA173" s="30">
        <f t="shared" ref="AA173:AA176" si="0">1/10000</f>
        <v>1E-4</v>
      </c>
      <c r="AB173" s="29" t="s">
        <v>51</v>
      </c>
      <c r="AC173" s="30">
        <f>2/10000</f>
        <v>2.0000000000000001E-4</v>
      </c>
      <c r="AD173" s="29"/>
      <c r="AE173" s="12"/>
      <c r="AF173" s="29"/>
      <c r="AG173" s="12"/>
    </row>
    <row r="174" spans="3:33" ht="24.95" customHeight="1" outlineLevel="1">
      <c r="C174" s="31" t="s">
        <v>194</v>
      </c>
      <c r="D174" s="2" t="s">
        <v>85</v>
      </c>
      <c r="E174" s="30">
        <f>0.1/10000</f>
        <v>1.0000000000000001E-5</v>
      </c>
      <c r="F174" s="2" t="s">
        <v>88</v>
      </c>
      <c r="G174" s="30">
        <f>1/10000</f>
        <v>1E-4</v>
      </c>
      <c r="H174" s="2" t="s">
        <v>88</v>
      </c>
      <c r="I174" s="30">
        <f>1/10000</f>
        <v>1E-4</v>
      </c>
      <c r="J174" s="2" t="s">
        <v>85</v>
      </c>
      <c r="K174" s="30">
        <f>1/10000</f>
        <v>1E-4</v>
      </c>
      <c r="L174" s="2" t="s">
        <v>85</v>
      </c>
      <c r="M174" s="30">
        <f>0.1/10000</f>
        <v>1.0000000000000001E-5</v>
      </c>
      <c r="N174" s="29" t="s">
        <v>51</v>
      </c>
      <c r="O174" s="30">
        <f>1/10000</f>
        <v>1E-4</v>
      </c>
      <c r="P174" s="2" t="s">
        <v>85</v>
      </c>
      <c r="Q174" s="30">
        <f>0.1/10000</f>
        <v>1.0000000000000001E-5</v>
      </c>
      <c r="R174" s="2" t="s">
        <v>85</v>
      </c>
      <c r="S174" s="30">
        <f>0.1/10000</f>
        <v>1.0000000000000001E-5</v>
      </c>
      <c r="T174" s="2" t="s">
        <v>65</v>
      </c>
      <c r="U174" s="30">
        <f>3/10000</f>
        <v>2.9999999999999997E-4</v>
      </c>
      <c r="V174" s="2" t="s">
        <v>85</v>
      </c>
      <c r="W174" s="30">
        <f>0.1/10000</f>
        <v>1.0000000000000001E-5</v>
      </c>
      <c r="X174" s="29" t="s">
        <v>53</v>
      </c>
      <c r="Y174" s="30">
        <f>0.1/10000</f>
        <v>1.0000000000000001E-5</v>
      </c>
      <c r="Z174" s="29" t="s">
        <v>53</v>
      </c>
      <c r="AA174" s="30">
        <f t="shared" si="0"/>
        <v>1E-4</v>
      </c>
      <c r="AB174" s="29" t="s">
        <v>53</v>
      </c>
      <c r="AC174" s="30">
        <f>1/10000</f>
        <v>1E-4</v>
      </c>
      <c r="AD174" s="29"/>
      <c r="AE174" s="12"/>
      <c r="AF174" s="29"/>
      <c r="AG174" s="12"/>
    </row>
    <row r="175" spans="3:33" ht="24.95" customHeight="1" outlineLevel="1">
      <c r="C175" s="31" t="s">
        <v>195</v>
      </c>
      <c r="D175" s="2" t="s">
        <v>88</v>
      </c>
      <c r="E175" s="30">
        <f>2/10000</f>
        <v>2.0000000000000001E-4</v>
      </c>
      <c r="F175" s="2" t="s">
        <v>96</v>
      </c>
      <c r="G175" s="30">
        <f>0.5/10000</f>
        <v>5.0000000000000002E-5</v>
      </c>
      <c r="H175" s="2" t="s">
        <v>96</v>
      </c>
      <c r="I175" s="30">
        <f>1/10000</f>
        <v>1E-4</v>
      </c>
      <c r="J175" s="2" t="s">
        <v>88</v>
      </c>
      <c r="K175" s="30">
        <f>10/10000</f>
        <v>1E-3</v>
      </c>
      <c r="L175" s="2" t="s">
        <v>88</v>
      </c>
      <c r="M175" s="30">
        <f>2/10000</f>
        <v>2.0000000000000001E-4</v>
      </c>
      <c r="N175" s="2" t="s">
        <v>69</v>
      </c>
      <c r="O175" s="30">
        <f>7/10000</f>
        <v>6.9999999999999999E-4</v>
      </c>
      <c r="P175" s="2" t="s">
        <v>88</v>
      </c>
      <c r="Q175" s="30">
        <f>0.4/10000</f>
        <v>4.0000000000000003E-5</v>
      </c>
      <c r="R175" s="2" t="s">
        <v>88</v>
      </c>
      <c r="S175" s="30">
        <f>0.5/10000</f>
        <v>5.0000000000000002E-5</v>
      </c>
      <c r="T175" s="2" t="s">
        <v>69</v>
      </c>
      <c r="U175" s="30">
        <f>1/10000</f>
        <v>1E-4</v>
      </c>
      <c r="V175" s="2" t="s">
        <v>96</v>
      </c>
      <c r="W175" s="30">
        <f>0.5/10000</f>
        <v>5.0000000000000002E-5</v>
      </c>
      <c r="X175" s="29" t="s">
        <v>77</v>
      </c>
      <c r="Y175" s="30">
        <f>0.1/10000</f>
        <v>1.0000000000000001E-5</v>
      </c>
      <c r="Z175" s="2" t="s">
        <v>71</v>
      </c>
      <c r="AA175" s="30">
        <f t="shared" si="0"/>
        <v>1E-4</v>
      </c>
      <c r="AB175" s="2" t="s">
        <v>65</v>
      </c>
      <c r="AC175" s="30">
        <f>5/10000</f>
        <v>5.0000000000000001E-4</v>
      </c>
      <c r="AD175" s="29"/>
      <c r="AE175" s="12"/>
      <c r="AF175" s="29"/>
      <c r="AG175" s="12"/>
    </row>
    <row r="176" spans="3:33" ht="24.95" customHeight="1" outlineLevel="1">
      <c r="C176" s="31" t="s">
        <v>196</v>
      </c>
      <c r="D176" s="2" t="s">
        <v>96</v>
      </c>
      <c r="E176" s="30">
        <f>1/10000</f>
        <v>1E-4</v>
      </c>
      <c r="F176" s="2" t="s">
        <v>75</v>
      </c>
      <c r="G176" s="30">
        <f>0.1/10000</f>
        <v>1.0000000000000001E-5</v>
      </c>
      <c r="H176" s="2" t="s">
        <v>85</v>
      </c>
      <c r="I176" s="30">
        <f>4/10000</f>
        <v>4.0000000000000002E-4</v>
      </c>
      <c r="J176" s="2" t="s">
        <v>96</v>
      </c>
      <c r="K176" s="30">
        <f>0.5/10000</f>
        <v>5.0000000000000002E-5</v>
      </c>
      <c r="L176" s="2" t="s">
        <v>96</v>
      </c>
      <c r="M176" s="30">
        <f>1/10000</f>
        <v>1E-4</v>
      </c>
      <c r="N176" s="29" t="s">
        <v>77</v>
      </c>
      <c r="O176" s="30">
        <f>0.5/10000</f>
        <v>5.0000000000000002E-5</v>
      </c>
      <c r="P176" s="2" t="s">
        <v>96</v>
      </c>
      <c r="Q176" s="30">
        <f>0.1/10000</f>
        <v>1.0000000000000001E-5</v>
      </c>
      <c r="R176" s="2" t="s">
        <v>96</v>
      </c>
      <c r="S176" s="30">
        <f>0.1/10000</f>
        <v>1.0000000000000001E-5</v>
      </c>
      <c r="T176" s="29" t="s">
        <v>77</v>
      </c>
      <c r="U176" s="30">
        <f>1/10000</f>
        <v>1E-4</v>
      </c>
      <c r="V176" s="2" t="s">
        <v>88</v>
      </c>
      <c r="W176" s="30">
        <v>99.999899999999997</v>
      </c>
      <c r="X176" s="2" t="s">
        <v>88</v>
      </c>
      <c r="Y176" s="30">
        <f>5/10000</f>
        <v>5.0000000000000001E-4</v>
      </c>
      <c r="Z176" s="29" t="s">
        <v>77</v>
      </c>
      <c r="AA176" s="30">
        <f t="shared" si="0"/>
        <v>1E-4</v>
      </c>
      <c r="AB176" s="29" t="s">
        <v>77</v>
      </c>
      <c r="AC176" s="30">
        <f>1/10000</f>
        <v>1E-4</v>
      </c>
      <c r="AD176" s="29"/>
      <c r="AE176" s="12"/>
      <c r="AF176" s="29"/>
      <c r="AG176" s="12"/>
    </row>
    <row r="177" spans="3:33" ht="24.95" customHeight="1" outlineLevel="1">
      <c r="C177" s="31" t="s">
        <v>197</v>
      </c>
      <c r="D177" s="2" t="s">
        <v>45</v>
      </c>
      <c r="E177" s="30">
        <v>99.999200000000002</v>
      </c>
      <c r="F177" s="2" t="s">
        <v>47</v>
      </c>
      <c r="G177" s="30">
        <v>99.999899999999997</v>
      </c>
      <c r="H177" s="29" t="s">
        <v>51</v>
      </c>
      <c r="I177" s="30">
        <v>99.998999999999995</v>
      </c>
      <c r="J177" s="29" t="s">
        <v>53</v>
      </c>
      <c r="K177" s="30">
        <v>99.998000000000005</v>
      </c>
      <c r="L177" s="2" t="s">
        <v>55</v>
      </c>
      <c r="M177" s="30">
        <v>99.998999999999995</v>
      </c>
      <c r="N177" s="2" t="s">
        <v>81</v>
      </c>
      <c r="O177" s="30">
        <f>0.5/10000</f>
        <v>5.0000000000000002E-5</v>
      </c>
      <c r="P177" s="2" t="s">
        <v>71</v>
      </c>
      <c r="Q177" s="30">
        <v>99.999899999999997</v>
      </c>
      <c r="R177" s="29" t="s">
        <v>77</v>
      </c>
      <c r="S177" s="30">
        <v>99.999899999999997</v>
      </c>
      <c r="T177" s="2" t="s">
        <v>88</v>
      </c>
      <c r="U177" s="30">
        <f>4/10000</f>
        <v>4.0000000000000002E-4</v>
      </c>
      <c r="V177" s="29" t="s">
        <v>7</v>
      </c>
      <c r="W177" s="29"/>
      <c r="X177" s="2" t="s">
        <v>85</v>
      </c>
      <c r="Y177" s="30">
        <f>3.1/10000</f>
        <v>3.1E-4</v>
      </c>
      <c r="Z177" s="2" t="s">
        <v>85</v>
      </c>
      <c r="AA177" s="30">
        <f>1.1/10000</f>
        <v>1.1E-4</v>
      </c>
      <c r="AB177" s="2" t="s">
        <v>85</v>
      </c>
      <c r="AC177" s="30">
        <f>1/10000</f>
        <v>1E-4</v>
      </c>
      <c r="AD177" s="29"/>
      <c r="AE177" s="12"/>
      <c r="AF177" s="29"/>
      <c r="AG177" s="12"/>
    </row>
    <row r="178" spans="3:33" ht="24.95" customHeight="1" outlineLevel="1">
      <c r="C178" s="31" t="s">
        <v>198</v>
      </c>
      <c r="D178" s="29" t="s">
        <v>7</v>
      </c>
      <c r="E178" s="29"/>
      <c r="F178" s="29" t="s">
        <v>7</v>
      </c>
      <c r="G178" s="29"/>
      <c r="H178" s="29" t="s">
        <v>7</v>
      </c>
      <c r="I178" s="29"/>
      <c r="J178" s="29" t="s">
        <v>7</v>
      </c>
      <c r="K178" s="29"/>
      <c r="L178" s="29" t="s">
        <v>7</v>
      </c>
      <c r="M178" s="29"/>
      <c r="N178" s="2" t="s">
        <v>85</v>
      </c>
      <c r="O178" s="30">
        <f>2/10000</f>
        <v>2.0000000000000001E-4</v>
      </c>
      <c r="P178" s="29" t="s">
        <v>7</v>
      </c>
      <c r="Q178" s="29"/>
      <c r="R178" s="29" t="s">
        <v>7</v>
      </c>
      <c r="S178" s="29"/>
      <c r="T178" s="2" t="s">
        <v>96</v>
      </c>
      <c r="U178" s="30">
        <f>1/10000</f>
        <v>1E-4</v>
      </c>
      <c r="V178" s="29" t="s">
        <v>7</v>
      </c>
      <c r="W178" s="29"/>
      <c r="X178" s="2" t="s">
        <v>96</v>
      </c>
      <c r="Y178" s="30">
        <v>99.998000000000005</v>
      </c>
      <c r="Z178" s="2" t="s">
        <v>88</v>
      </c>
      <c r="AA178" s="30">
        <f>10/10000</f>
        <v>1E-3</v>
      </c>
      <c r="AB178" s="2" t="s">
        <v>88</v>
      </c>
      <c r="AC178" s="30">
        <f>2/10000</f>
        <v>2.0000000000000001E-4</v>
      </c>
      <c r="AD178" s="29"/>
      <c r="AE178" s="12"/>
      <c r="AF178" s="29"/>
      <c r="AG178" s="12"/>
    </row>
    <row r="179" spans="3:33" ht="24.95" customHeight="1" outlineLevel="1">
      <c r="C179" s="31" t="s">
        <v>199</v>
      </c>
      <c r="D179" s="29" t="s">
        <v>7</v>
      </c>
      <c r="E179" s="29"/>
      <c r="F179" s="29" t="s">
        <v>7</v>
      </c>
      <c r="G179" s="29"/>
      <c r="H179" s="29" t="s">
        <v>7</v>
      </c>
      <c r="I179" s="29"/>
      <c r="J179" s="29" t="s">
        <v>7</v>
      </c>
      <c r="K179" s="29"/>
      <c r="L179" s="29" t="s">
        <v>7</v>
      </c>
      <c r="M179" s="29"/>
      <c r="N179" s="2" t="s">
        <v>88</v>
      </c>
      <c r="O179" s="30">
        <f>4/10000</f>
        <v>4.0000000000000002E-4</v>
      </c>
      <c r="P179" s="29" t="s">
        <v>7</v>
      </c>
      <c r="Q179" s="29"/>
      <c r="R179" s="29" t="s">
        <v>7</v>
      </c>
      <c r="S179" s="29"/>
      <c r="T179" s="2" t="s">
        <v>98</v>
      </c>
      <c r="U179" s="30">
        <f>1/10000</f>
        <v>1E-4</v>
      </c>
      <c r="V179" s="29" t="s">
        <v>7</v>
      </c>
      <c r="W179" s="29"/>
      <c r="X179" s="29" t="s">
        <v>7</v>
      </c>
      <c r="Y179" s="12"/>
      <c r="Z179" s="2" t="s">
        <v>96</v>
      </c>
      <c r="AA179" s="30">
        <f>2/10000</f>
        <v>2.0000000000000001E-4</v>
      </c>
      <c r="AB179" s="2" t="s">
        <v>96</v>
      </c>
      <c r="AC179" s="30">
        <f>2/10000</f>
        <v>2.0000000000000001E-4</v>
      </c>
      <c r="AD179" s="29"/>
      <c r="AE179" s="12"/>
      <c r="AF179" s="29"/>
      <c r="AG179" s="12"/>
    </row>
    <row r="180" spans="3:33" ht="24.95" customHeight="1" outlineLevel="1">
      <c r="C180" s="31" t="s">
        <v>200</v>
      </c>
      <c r="D180" s="29" t="s">
        <v>7</v>
      </c>
      <c r="E180" s="29"/>
      <c r="F180" s="29" t="s">
        <v>7</v>
      </c>
      <c r="G180" s="29"/>
      <c r="H180" s="29" t="s">
        <v>7</v>
      </c>
      <c r="I180" s="29"/>
      <c r="J180" s="29" t="s">
        <v>7</v>
      </c>
      <c r="K180" s="29"/>
      <c r="L180" s="29" t="s">
        <v>7</v>
      </c>
      <c r="M180" s="29"/>
      <c r="N180" s="2" t="s">
        <v>96</v>
      </c>
      <c r="O180" s="30">
        <f>2/10000</f>
        <v>2.0000000000000001E-4</v>
      </c>
      <c r="P180" s="29" t="s">
        <v>7</v>
      </c>
      <c r="Q180" s="29"/>
      <c r="R180" s="29" t="s">
        <v>7</v>
      </c>
      <c r="S180" s="29"/>
      <c r="T180" s="2" t="s">
        <v>100</v>
      </c>
      <c r="U180" s="30">
        <f>1/10000</f>
        <v>1E-4</v>
      </c>
      <c r="V180" s="29" t="s">
        <v>7</v>
      </c>
      <c r="W180" s="29"/>
      <c r="X180" s="29" t="s">
        <v>7</v>
      </c>
      <c r="Y180" s="12"/>
      <c r="Z180" s="2" t="s">
        <v>588</v>
      </c>
      <c r="AA180" s="30">
        <v>99.998000000000005</v>
      </c>
      <c r="AB180" s="2" t="s">
        <v>98</v>
      </c>
      <c r="AC180" s="30">
        <f>1/10000</f>
        <v>1E-4</v>
      </c>
      <c r="AD180" s="29"/>
      <c r="AE180" s="12"/>
      <c r="AF180" s="29"/>
      <c r="AG180" s="12"/>
    </row>
    <row r="181" spans="3:33" ht="24.95" customHeight="1" outlineLevel="1">
      <c r="C181" s="31" t="s">
        <v>201</v>
      </c>
      <c r="D181" s="29" t="s">
        <v>7</v>
      </c>
      <c r="E181" s="29"/>
      <c r="F181" s="29" t="s">
        <v>7</v>
      </c>
      <c r="G181" s="29"/>
      <c r="H181" s="29" t="s">
        <v>7</v>
      </c>
      <c r="I181" s="29"/>
      <c r="J181" s="29" t="s">
        <v>7</v>
      </c>
      <c r="K181" s="29"/>
      <c r="L181" s="29" t="s">
        <v>7</v>
      </c>
      <c r="M181" s="29"/>
      <c r="N181" s="2" t="s">
        <v>98</v>
      </c>
      <c r="O181" s="30">
        <f>10/10000</f>
        <v>1E-3</v>
      </c>
      <c r="P181" s="29" t="s">
        <v>7</v>
      </c>
      <c r="Q181" s="29"/>
      <c r="R181" s="29" t="s">
        <v>7</v>
      </c>
      <c r="S181" s="29"/>
      <c r="T181" s="2" t="s">
        <v>85</v>
      </c>
      <c r="U181" s="30">
        <v>99.998999999999995</v>
      </c>
      <c r="V181" s="29" t="s">
        <v>7</v>
      </c>
      <c r="W181" s="29"/>
      <c r="X181" s="29" t="s">
        <v>7</v>
      </c>
      <c r="Y181" s="12"/>
      <c r="Z181" s="29" t="s">
        <v>7</v>
      </c>
      <c r="AA181" s="12"/>
      <c r="AB181" s="2" t="s">
        <v>100</v>
      </c>
      <c r="AC181" s="30">
        <f>1/10000</f>
        <v>1E-4</v>
      </c>
      <c r="AD181" s="29"/>
      <c r="AE181" s="12"/>
      <c r="AF181" s="29"/>
      <c r="AG181" s="12"/>
    </row>
    <row r="182" spans="3:33" ht="24.95" customHeight="1" outlineLevel="1">
      <c r="C182" s="31" t="s">
        <v>202</v>
      </c>
      <c r="D182" s="29" t="s">
        <v>7</v>
      </c>
      <c r="E182" s="29"/>
      <c r="F182" s="29" t="s">
        <v>7</v>
      </c>
      <c r="G182" s="29"/>
      <c r="H182" s="29" t="s">
        <v>7</v>
      </c>
      <c r="I182" s="29"/>
      <c r="J182" s="29" t="s">
        <v>7</v>
      </c>
      <c r="K182" s="29"/>
      <c r="L182" s="29" t="s">
        <v>7</v>
      </c>
      <c r="M182" s="29"/>
      <c r="N182" s="2" t="s">
        <v>100</v>
      </c>
      <c r="O182" s="30">
        <f>17/10000</f>
        <v>1.6999999999999999E-3</v>
      </c>
      <c r="P182" s="29" t="s">
        <v>7</v>
      </c>
      <c r="Q182" s="29"/>
      <c r="R182" s="29" t="s">
        <v>7</v>
      </c>
      <c r="S182" s="29"/>
      <c r="T182" s="29" t="s">
        <v>7</v>
      </c>
      <c r="U182" s="29"/>
      <c r="V182" s="29" t="s">
        <v>7</v>
      </c>
      <c r="W182" s="29"/>
      <c r="X182" s="29" t="s">
        <v>7</v>
      </c>
      <c r="Y182" s="12"/>
      <c r="Z182" s="29" t="s">
        <v>7</v>
      </c>
      <c r="AA182" s="12"/>
      <c r="AB182" s="2" t="s">
        <v>69</v>
      </c>
      <c r="AC182" s="30">
        <v>99.998999999999995</v>
      </c>
      <c r="AD182" s="29"/>
      <c r="AE182" s="12"/>
      <c r="AF182" s="29"/>
      <c r="AG182" s="12"/>
    </row>
    <row r="183" spans="3:33" ht="24.95" customHeight="1" outlineLevel="1">
      <c r="C183" s="31" t="s">
        <v>203</v>
      </c>
      <c r="D183" s="29" t="s">
        <v>7</v>
      </c>
      <c r="E183" s="29"/>
      <c r="F183" s="29" t="s">
        <v>7</v>
      </c>
      <c r="G183" s="29"/>
      <c r="H183" s="29" t="s">
        <v>7</v>
      </c>
      <c r="I183" s="29"/>
      <c r="J183" s="29" t="s">
        <v>7</v>
      </c>
      <c r="K183" s="29"/>
      <c r="L183" s="29" t="s">
        <v>7</v>
      </c>
      <c r="M183" s="29"/>
      <c r="N183" s="2" t="s">
        <v>65</v>
      </c>
      <c r="O183" s="30">
        <v>99.995000000000005</v>
      </c>
      <c r="P183" s="29" t="s">
        <v>7</v>
      </c>
      <c r="Q183" s="29"/>
      <c r="R183" s="29" t="s">
        <v>7</v>
      </c>
      <c r="S183" s="29"/>
      <c r="T183" s="29" t="s">
        <v>7</v>
      </c>
      <c r="U183" s="29"/>
      <c r="V183" s="29" t="s">
        <v>7</v>
      </c>
      <c r="W183" s="29"/>
      <c r="X183" s="29" t="s">
        <v>7</v>
      </c>
      <c r="Y183" s="12"/>
      <c r="Z183" s="29" t="s">
        <v>7</v>
      </c>
      <c r="AA183" s="12"/>
      <c r="AB183" s="29" t="s">
        <v>7</v>
      </c>
      <c r="AC183" s="12"/>
      <c r="AD183" s="29"/>
      <c r="AE183" s="12"/>
      <c r="AF183" s="29"/>
      <c r="AG183" s="12"/>
    </row>
    <row r="184" spans="3:33" ht="24.95" customHeight="1" outlineLevel="1">
      <c r="C184" s="31" t="s">
        <v>204</v>
      </c>
      <c r="D184" s="29" t="s">
        <v>7</v>
      </c>
      <c r="E184" s="29"/>
      <c r="F184" s="29" t="s">
        <v>7</v>
      </c>
      <c r="G184" s="29"/>
      <c r="H184" s="29" t="s">
        <v>7</v>
      </c>
      <c r="I184" s="29"/>
      <c r="J184" s="29" t="s">
        <v>7</v>
      </c>
      <c r="K184" s="29"/>
      <c r="L184" s="29" t="s">
        <v>7</v>
      </c>
      <c r="M184" s="29"/>
      <c r="N184" s="29" t="s">
        <v>7</v>
      </c>
      <c r="O184" s="12"/>
      <c r="P184" s="29" t="s">
        <v>7</v>
      </c>
      <c r="Q184" s="29"/>
      <c r="R184" s="29" t="s">
        <v>7</v>
      </c>
      <c r="S184" s="29"/>
      <c r="T184" s="29" t="s">
        <v>7</v>
      </c>
      <c r="U184" s="29"/>
      <c r="V184" s="29" t="s">
        <v>7</v>
      </c>
      <c r="W184" s="12"/>
      <c r="X184" s="29" t="s">
        <v>7</v>
      </c>
      <c r="Y184" s="12"/>
      <c r="Z184" s="29" t="s">
        <v>7</v>
      </c>
      <c r="AA184" s="12"/>
      <c r="AB184" s="29" t="s">
        <v>7</v>
      </c>
      <c r="AC184" s="12"/>
      <c r="AD184" s="29"/>
      <c r="AE184" s="12"/>
      <c r="AF184" s="29"/>
      <c r="AG184" s="12"/>
    </row>
    <row r="185" spans="3:33" ht="24.95" customHeight="1" outlineLevel="1">
      <c r="C185" s="31" t="s">
        <v>205</v>
      </c>
      <c r="D185" s="29" t="s">
        <v>7</v>
      </c>
      <c r="E185" s="29"/>
      <c r="F185" s="29" t="s">
        <v>7</v>
      </c>
      <c r="G185" s="29"/>
      <c r="H185" s="29" t="s">
        <v>7</v>
      </c>
      <c r="I185" s="29"/>
      <c r="J185" s="29" t="s">
        <v>7</v>
      </c>
      <c r="K185" s="29"/>
      <c r="L185" s="29" t="s">
        <v>7</v>
      </c>
      <c r="M185" s="29"/>
      <c r="N185" s="29" t="s">
        <v>7</v>
      </c>
      <c r="O185" s="12"/>
      <c r="P185" s="29" t="s">
        <v>7</v>
      </c>
      <c r="Q185" s="29"/>
      <c r="R185" s="29" t="s">
        <v>7</v>
      </c>
      <c r="S185" s="29"/>
      <c r="T185" s="29" t="s">
        <v>7</v>
      </c>
      <c r="U185" s="29"/>
      <c r="V185" s="29" t="s">
        <v>7</v>
      </c>
      <c r="W185" s="12"/>
      <c r="X185" s="29" t="s">
        <v>7</v>
      </c>
      <c r="Y185" s="12"/>
      <c r="Z185" s="29" t="s">
        <v>7</v>
      </c>
      <c r="AA185" s="12"/>
      <c r="AB185" s="29" t="s">
        <v>7</v>
      </c>
      <c r="AC185" s="12"/>
      <c r="AD185" s="29"/>
      <c r="AE185" s="12"/>
      <c r="AF185" s="29"/>
      <c r="AG185" s="12"/>
    </row>
    <row r="186" spans="3:33" ht="24.95" customHeight="1" outlineLevel="1">
      <c r="C186" s="31" t="s">
        <v>206</v>
      </c>
      <c r="D186" s="29" t="s">
        <v>7</v>
      </c>
      <c r="E186" s="29"/>
      <c r="F186" s="29" t="s">
        <v>7</v>
      </c>
      <c r="G186" s="29"/>
      <c r="H186" s="29" t="s">
        <v>7</v>
      </c>
      <c r="I186" s="29"/>
      <c r="J186" s="29" t="s">
        <v>7</v>
      </c>
      <c r="K186" s="29"/>
      <c r="L186" s="29" t="s">
        <v>7</v>
      </c>
      <c r="M186" s="29"/>
      <c r="N186" s="29" t="s">
        <v>7</v>
      </c>
      <c r="O186" s="12"/>
      <c r="P186" s="29" t="s">
        <v>7</v>
      </c>
      <c r="Q186" s="29"/>
      <c r="R186" s="29" t="s">
        <v>7</v>
      </c>
      <c r="S186" s="29"/>
      <c r="T186" s="29" t="s">
        <v>7</v>
      </c>
      <c r="U186" s="29"/>
      <c r="V186" s="29" t="s">
        <v>7</v>
      </c>
      <c r="W186" s="12"/>
      <c r="X186" s="29" t="s">
        <v>7</v>
      </c>
      <c r="Y186" s="12"/>
      <c r="Z186" s="29" t="s">
        <v>7</v>
      </c>
      <c r="AA186" s="12"/>
      <c r="AB186" s="29" t="s">
        <v>7</v>
      </c>
      <c r="AC186" s="12"/>
      <c r="AD186" s="29"/>
      <c r="AE186" s="12"/>
      <c r="AF186" s="29"/>
      <c r="AG186" s="12"/>
    </row>
    <row r="187" spans="3:33" ht="24.95" customHeight="1" outlineLevel="1">
      <c r="C187" s="31" t="s">
        <v>207</v>
      </c>
      <c r="D187" s="29" t="s">
        <v>7</v>
      </c>
      <c r="E187" s="29"/>
      <c r="F187" s="29" t="s">
        <v>7</v>
      </c>
      <c r="G187" s="29"/>
      <c r="H187" s="29" t="s">
        <v>7</v>
      </c>
      <c r="I187" s="29"/>
      <c r="J187" s="29" t="s">
        <v>7</v>
      </c>
      <c r="K187" s="29"/>
      <c r="L187" s="29" t="s">
        <v>7</v>
      </c>
      <c r="M187" s="29"/>
      <c r="N187" s="29" t="s">
        <v>7</v>
      </c>
      <c r="O187" s="12"/>
      <c r="P187" s="29" t="s">
        <v>7</v>
      </c>
      <c r="Q187" s="29"/>
      <c r="R187" s="29" t="s">
        <v>7</v>
      </c>
      <c r="S187" s="29"/>
      <c r="T187" s="29" t="s">
        <v>7</v>
      </c>
      <c r="U187" s="29"/>
      <c r="V187" s="29" t="s">
        <v>7</v>
      </c>
      <c r="W187" s="12"/>
      <c r="X187" s="29" t="s">
        <v>7</v>
      </c>
      <c r="Y187" s="12"/>
      <c r="Z187" s="29" t="s">
        <v>7</v>
      </c>
      <c r="AA187" s="12"/>
      <c r="AB187" s="29" t="s">
        <v>7</v>
      </c>
      <c r="AC187" s="12"/>
      <c r="AD187" s="29"/>
      <c r="AE187" s="12"/>
      <c r="AF187" s="29"/>
      <c r="AG187" s="12"/>
    </row>
    <row r="188" spans="3:33" ht="24.95" customHeight="1" outlineLevel="1">
      <c r="C188" s="31" t="s">
        <v>208</v>
      </c>
      <c r="D188" s="29" t="s">
        <v>7</v>
      </c>
      <c r="E188" s="29"/>
      <c r="F188" s="29" t="s">
        <v>7</v>
      </c>
      <c r="G188" s="29"/>
      <c r="H188" s="29" t="s">
        <v>7</v>
      </c>
      <c r="I188" s="29"/>
      <c r="J188" s="29" t="s">
        <v>7</v>
      </c>
      <c r="K188" s="29"/>
      <c r="L188" s="29" t="s">
        <v>7</v>
      </c>
      <c r="M188" s="29"/>
      <c r="N188" s="29" t="s">
        <v>7</v>
      </c>
      <c r="O188" s="12"/>
      <c r="P188" s="29" t="s">
        <v>7</v>
      </c>
      <c r="Q188" s="29"/>
      <c r="R188" s="29" t="s">
        <v>7</v>
      </c>
      <c r="S188" s="29"/>
      <c r="T188" s="29" t="s">
        <v>7</v>
      </c>
      <c r="U188" s="29"/>
      <c r="V188" s="29" t="s">
        <v>7</v>
      </c>
      <c r="W188" s="12"/>
      <c r="X188" s="29" t="s">
        <v>7</v>
      </c>
      <c r="Y188" s="12"/>
      <c r="Z188" s="29" t="s">
        <v>7</v>
      </c>
      <c r="AA188" s="12"/>
      <c r="AB188" s="29" t="s">
        <v>7</v>
      </c>
      <c r="AC188" s="12"/>
      <c r="AD188" s="29"/>
      <c r="AE188" s="12"/>
      <c r="AF188" s="29"/>
      <c r="AG188" s="12"/>
    </row>
  </sheetData>
  <sheetProtection password="E5FA" sheet="1" objects="1" scenarios="1"/>
  <mergeCells count="16">
    <mergeCell ref="Z169:AA169"/>
    <mergeCell ref="AB169:AC169"/>
    <mergeCell ref="AD169:AE169"/>
    <mergeCell ref="AF169:AG169"/>
    <mergeCell ref="N169:O169"/>
    <mergeCell ref="P169:Q169"/>
    <mergeCell ref="R169:S169"/>
    <mergeCell ref="T169:U169"/>
    <mergeCell ref="V169:W169"/>
    <mergeCell ref="X169:Y169"/>
    <mergeCell ref="L169:M169"/>
    <mergeCell ref="D149:E149"/>
    <mergeCell ref="D169:E169"/>
    <mergeCell ref="F169:G169"/>
    <mergeCell ref="H169:I169"/>
    <mergeCell ref="J169:K1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Data Sheet</vt:lpstr>
      <vt:lpstr>Calculation</vt:lpstr>
      <vt:lpstr>Process DS</vt:lpstr>
      <vt:lpstr>Process CL</vt:lpstr>
      <vt:lpstr>Process DB</vt:lpstr>
      <vt:lpstr>AbsolutePress_Select</vt:lpstr>
      <vt:lpstr>Array_Component_Number</vt:lpstr>
      <vt:lpstr>Composition_View</vt:lpstr>
      <vt:lpstr>Feed_Others</vt:lpstr>
      <vt:lpstr>Feed_WaterVapor</vt:lpstr>
      <vt:lpstr>FeedFlow_Select</vt:lpstr>
      <vt:lpstr>FeedFlow_Stream</vt:lpstr>
      <vt:lpstr>Fluid_Contents</vt:lpstr>
      <vt:lpstr>Master_List_Column_Title_Gas_ID_Tag</vt:lpstr>
      <vt:lpstr>Master_List_Fluid_Composition</vt:lpstr>
      <vt:lpstr>Master_List_Fluid_Contents</vt:lpstr>
      <vt:lpstr>Product_MinMaxBalance</vt:lpstr>
      <vt:lpstr>Product_Others</vt:lpstr>
      <vt:lpstr>Product_WaterVapor</vt:lpstr>
      <vt:lpstr>RELIEF</vt:lpstr>
      <vt:lpstr>TEST</vt:lpstr>
      <vt:lpstr>YES_NO</vt:lpstr>
    </vt:vector>
  </TitlesOfParts>
  <Company>SGT,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Ronak A Patel</dc:creator>
  <cp:lastModifiedBy>julio lopez</cp:lastModifiedBy>
  <dcterms:created xsi:type="dcterms:W3CDTF">2012-03-27T19:26:57Z</dcterms:created>
  <dcterms:modified xsi:type="dcterms:W3CDTF">2013-04-17T12:17:01Z</dcterms:modified>
</cp:coreProperties>
</file>